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05" yWindow="945" windowWidth="14340" windowHeight="11985" tabRatio="820" activeTab="6"/>
  </bookViews>
  <sheets>
    <sheet name="пр№1" sheetId="109" r:id="rId1"/>
    <sheet name="пр№2 " sheetId="106" r:id="rId2"/>
    <sheet name="пр № 7" sheetId="69" state="hidden" r:id="rId3"/>
    <sheet name="ПР № 12" sheetId="96" state="hidden" r:id="rId4"/>
    <sheet name="пр № 3" sheetId="156" r:id="rId5"/>
    <sheet name="пр № 4" sheetId="154" r:id="rId6"/>
    <sheet name="пр №5" sheetId="155" r:id="rId7"/>
    <sheet name="пр № 6" sheetId="157" r:id="rId8"/>
  </sheets>
  <externalReferences>
    <externalReference r:id="rId9"/>
  </externalReferences>
  <definedNames>
    <definedName name="_xlnm._FilterDatabase" localSheetId="1" hidden="1">'пр№2 '!#REF!</definedName>
    <definedName name="_xlnm.Print_Area" localSheetId="3">'ПР № 12'!$A$1:$J$20</definedName>
    <definedName name="_xlnm.Print_Area" localSheetId="5">'пр № 4'!$A$1:$H$694</definedName>
    <definedName name="_xlnm.Print_Area" localSheetId="2">'пр № 7'!$A$1:$J$99</definedName>
    <definedName name="_xlnm.Print_Area" localSheetId="6">'пр №5'!$A$1:$I$892</definedName>
    <definedName name="_xlnm.Print_Area" localSheetId="1">'пр№2 '!$A$1:$E$133</definedName>
  </definedNames>
  <calcPr calcId="145621"/>
</workbook>
</file>

<file path=xl/calcChain.xml><?xml version="1.0" encoding="utf-8"?>
<calcChain xmlns="http://schemas.openxmlformats.org/spreadsheetml/2006/main">
  <c r="H26" i="156" l="1"/>
  <c r="H21" i="156"/>
  <c r="C146" i="109" l="1"/>
  <c r="C115" i="109"/>
  <c r="F115" i="109"/>
  <c r="C116" i="109"/>
  <c r="G116" i="109"/>
  <c r="H116" i="109"/>
  <c r="F116" i="109"/>
  <c r="G117" i="109"/>
  <c r="H117" i="109"/>
  <c r="F117" i="109"/>
  <c r="G134" i="109"/>
  <c r="H134" i="109"/>
  <c r="F134" i="109"/>
  <c r="G120" i="109"/>
  <c r="H120" i="109"/>
  <c r="F120" i="109"/>
  <c r="C120" i="109"/>
  <c r="D134" i="109"/>
  <c r="E134" i="109"/>
  <c r="C134" i="109"/>
  <c r="D139" i="109"/>
  <c r="E139" i="109"/>
  <c r="C139" i="109"/>
  <c r="D136" i="109"/>
  <c r="E136" i="109"/>
  <c r="C136" i="109"/>
  <c r="C128" i="109"/>
  <c r="C127" i="109"/>
  <c r="C7" i="109"/>
  <c r="C79" i="109"/>
  <c r="C100" i="109"/>
  <c r="C106" i="109"/>
  <c r="C103" i="109"/>
  <c r="C97" i="109"/>
  <c r="C96" i="109"/>
  <c r="C93" i="109"/>
  <c r="C95" i="109"/>
  <c r="C90" i="109"/>
  <c r="C84" i="109"/>
  <c r="C86" i="109"/>
  <c r="C71" i="109"/>
  <c r="C75" i="109"/>
  <c r="C67" i="109"/>
  <c r="C70" i="109"/>
  <c r="C12" i="109"/>
  <c r="C11" i="109"/>
  <c r="C20" i="109"/>
  <c r="C22" i="109"/>
  <c r="C21" i="109" s="1"/>
  <c r="D21" i="109"/>
  <c r="E21" i="109"/>
  <c r="C15" i="109"/>
  <c r="C19" i="109"/>
  <c r="C16" i="109"/>
  <c r="C133" i="106"/>
  <c r="C96" i="106"/>
  <c r="C95" i="106"/>
  <c r="C79" i="106" l="1"/>
  <c r="D79" i="106"/>
  <c r="E79" i="106"/>
  <c r="C127" i="106"/>
  <c r="D75" i="106"/>
  <c r="E75" i="106"/>
  <c r="C75" i="106"/>
  <c r="C74" i="106"/>
  <c r="C72" i="106"/>
  <c r="C70" i="106"/>
  <c r="C68" i="106"/>
  <c r="C67" i="106"/>
  <c r="C66" i="106"/>
  <c r="C65" i="106"/>
  <c r="C64" i="106"/>
  <c r="C63" i="106"/>
  <c r="C40" i="106"/>
  <c r="C45" i="106"/>
  <c r="C43" i="106"/>
  <c r="C42" i="106"/>
  <c r="C39" i="106"/>
  <c r="C30" i="106"/>
  <c r="C27" i="106"/>
  <c r="C14" i="106"/>
  <c r="I16" i="156" l="1"/>
  <c r="I15" i="156"/>
  <c r="D133" i="106" l="1"/>
  <c r="D146" i="109"/>
  <c r="C88" i="106"/>
  <c r="D102" i="106"/>
  <c r="C102" i="106"/>
  <c r="C90" i="106"/>
  <c r="D115" i="109"/>
  <c r="D137" i="109"/>
  <c r="G115" i="109" s="1"/>
  <c r="H115" i="109"/>
  <c r="C137" i="109"/>
  <c r="C122" i="109"/>
  <c r="C119" i="109"/>
  <c r="C107" i="109" l="1"/>
  <c r="C110" i="109"/>
  <c r="C114" i="109"/>
  <c r="C33" i="109"/>
  <c r="C37" i="109"/>
  <c r="C122" i="106"/>
  <c r="C119" i="106"/>
  <c r="C114" i="106"/>
  <c r="C111" i="106"/>
  <c r="M115" i="109" l="1"/>
  <c r="C97" i="106" l="1"/>
  <c r="C100" i="106"/>
  <c r="C129" i="109"/>
  <c r="C133" i="109"/>
  <c r="C130" i="109"/>
  <c r="H39" i="157" l="1"/>
  <c r="H38" i="157"/>
  <c r="H31" i="157"/>
  <c r="H30" i="157"/>
  <c r="H33" i="157" l="1"/>
  <c r="C128" i="106" l="1"/>
  <c r="C112" i="106"/>
  <c r="C77" i="109"/>
  <c r="C48" i="109"/>
  <c r="C56" i="109"/>
  <c r="C59" i="109" l="1"/>
  <c r="D13" i="106"/>
  <c r="E13" i="106"/>
  <c r="C13" i="106"/>
  <c r="C23" i="109"/>
  <c r="C24" i="109"/>
  <c r="C47" i="106"/>
  <c r="C49" i="109"/>
  <c r="C53" i="109"/>
  <c r="C76" i="109"/>
  <c r="D76" i="109"/>
  <c r="E76" i="109"/>
  <c r="C130" i="106"/>
  <c r="C126" i="106"/>
  <c r="C125" i="106"/>
  <c r="C94" i="106" l="1"/>
  <c r="J16" i="156" l="1"/>
  <c r="J15" i="156"/>
  <c r="C80" i="106" l="1"/>
  <c r="C69" i="109"/>
  <c r="E146" i="109" l="1"/>
  <c r="D67" i="109"/>
  <c r="E67" i="109"/>
  <c r="E7" i="109"/>
  <c r="D7" i="109"/>
  <c r="C112" i="109"/>
  <c r="E107" i="109"/>
  <c r="D107" i="109"/>
  <c r="E111" i="109"/>
  <c r="D111" i="109"/>
  <c r="C111" i="109"/>
  <c r="D87" i="109"/>
  <c r="E87" i="109"/>
  <c r="C87" i="109"/>
  <c r="C94" i="109"/>
  <c r="F107" i="109" l="1"/>
  <c r="C108" i="109"/>
  <c r="E15" i="109"/>
  <c r="D15" i="109"/>
  <c r="E19" i="109"/>
  <c r="D19" i="109"/>
  <c r="E18" i="109"/>
  <c r="D18" i="109"/>
  <c r="E17" i="109"/>
  <c r="D17" i="109"/>
  <c r="E16" i="109"/>
  <c r="D16" i="109"/>
  <c r="E133" i="106"/>
  <c r="C109" i="106"/>
  <c r="E85" i="106"/>
  <c r="D85" i="106"/>
  <c r="C85" i="106"/>
  <c r="C61" i="106"/>
  <c r="D61" i="106"/>
  <c r="E61" i="106"/>
  <c r="E30" i="106"/>
  <c r="D30" i="106"/>
  <c r="E29" i="106"/>
  <c r="D29" i="106"/>
  <c r="E28" i="106"/>
  <c r="D28" i="106"/>
  <c r="E27" i="106"/>
  <c r="D27" i="106"/>
  <c r="C10" i="106"/>
  <c r="J39" i="157" l="1"/>
  <c r="I39" i="157"/>
  <c r="J38" i="157"/>
  <c r="I38" i="157"/>
  <c r="J36" i="157"/>
  <c r="I36" i="157"/>
  <c r="H36" i="157"/>
  <c r="J34" i="157"/>
  <c r="I34" i="157"/>
  <c r="H34" i="157"/>
  <c r="J31" i="157"/>
  <c r="I31" i="157"/>
  <c r="J30" i="157"/>
  <c r="I30" i="157"/>
  <c r="J26" i="157"/>
  <c r="J25" i="157" s="1"/>
  <c r="I26" i="157"/>
  <c r="I25" i="157" s="1"/>
  <c r="H26" i="157"/>
  <c r="H25" i="157" s="1"/>
  <c r="J24" i="157"/>
  <c r="J23" i="157" s="1"/>
  <c r="I24" i="157"/>
  <c r="I23" i="157" s="1"/>
  <c r="H24" i="157"/>
  <c r="H23" i="157" s="1"/>
  <c r="J12" i="157"/>
  <c r="J11" i="157" s="1"/>
  <c r="I12" i="157"/>
  <c r="I11" i="157" s="1"/>
  <c r="H12" i="157"/>
  <c r="H11" i="157" s="1"/>
  <c r="J10" i="157"/>
  <c r="J9" i="157" s="1"/>
  <c r="I10" i="157"/>
  <c r="I9" i="157" s="1"/>
  <c r="H10" i="157"/>
  <c r="H9" i="157" s="1"/>
  <c r="H23" i="156"/>
  <c r="H16" i="156" s="1"/>
  <c r="J23" i="156"/>
  <c r="I23" i="156"/>
  <c r="H20" i="156"/>
  <c r="H15" i="156" s="1"/>
  <c r="J20" i="156"/>
  <c r="I20" i="156"/>
  <c r="H19" i="156"/>
  <c r="I18" i="156"/>
  <c r="H18" i="156"/>
  <c r="J21" i="157"/>
  <c r="J20" i="157" s="1"/>
  <c r="J19" i="157" s="1"/>
  <c r="J18" i="157" s="1"/>
  <c r="I21" i="157"/>
  <c r="I20" i="157" s="1"/>
  <c r="I19" i="157" s="1"/>
  <c r="I18" i="157" s="1"/>
  <c r="I14" i="156"/>
  <c r="J13" i="156"/>
  <c r="I13" i="156"/>
  <c r="H13" i="156"/>
  <c r="J12" i="156"/>
  <c r="I12" i="156"/>
  <c r="H12" i="156"/>
  <c r="I33" i="157" l="1"/>
  <c r="I32" i="157" s="1"/>
  <c r="J17" i="156"/>
  <c r="H17" i="157"/>
  <c r="H16" i="157" s="1"/>
  <c r="H15" i="157" s="1"/>
  <c r="H14" i="157" s="1"/>
  <c r="H32" i="157"/>
  <c r="J29" i="157"/>
  <c r="J28" i="157" s="1"/>
  <c r="I22" i="157"/>
  <c r="H21" i="157"/>
  <c r="H20" i="157" s="1"/>
  <c r="H19" i="157" s="1"/>
  <c r="H18" i="157" s="1"/>
  <c r="I17" i="157"/>
  <c r="J14" i="156"/>
  <c r="J11" i="156" s="1"/>
  <c r="J28" i="156" s="1"/>
  <c r="I17" i="156"/>
  <c r="J17" i="157"/>
  <c r="H22" i="157"/>
  <c r="H8" i="157"/>
  <c r="J22" i="157"/>
  <c r="H29" i="157"/>
  <c r="H28" i="157" s="1"/>
  <c r="I29" i="157"/>
  <c r="I28" i="157" s="1"/>
  <c r="J33" i="157"/>
  <c r="J32" i="157" s="1"/>
  <c r="J27" i="157" s="1"/>
  <c r="I8" i="157"/>
  <c r="J8" i="157"/>
  <c r="I11" i="156"/>
  <c r="I28" i="156" s="1"/>
  <c r="H17" i="156"/>
  <c r="C58" i="109"/>
  <c r="I27" i="157" l="1"/>
  <c r="H27" i="157"/>
  <c r="H14" i="156"/>
  <c r="H11" i="156" s="1"/>
  <c r="H28" i="156" s="1"/>
  <c r="H13" i="157"/>
  <c r="H40" i="157" s="1"/>
  <c r="J16" i="157"/>
  <c r="J15" i="157" s="1"/>
  <c r="J14" i="157" s="1"/>
  <c r="J13" i="157"/>
  <c r="J40" i="157" s="1"/>
  <c r="I16" i="157"/>
  <c r="I15" i="157" s="1"/>
  <c r="I14" i="157" s="1"/>
  <c r="I13" i="157"/>
  <c r="I40" i="157" s="1"/>
  <c r="D108" i="106"/>
  <c r="E108" i="106"/>
  <c r="C108" i="106"/>
  <c r="C113" i="106" l="1"/>
  <c r="C123" i="106"/>
  <c r="C144" i="109" l="1"/>
  <c r="C48" i="106" l="1"/>
  <c r="C26" i="109"/>
  <c r="C25" i="109"/>
  <c r="E48" i="109" l="1"/>
  <c r="D48" i="109"/>
  <c r="E71" i="109"/>
  <c r="D71" i="109"/>
  <c r="D74" i="109" l="1"/>
  <c r="E74" i="109"/>
  <c r="C74" i="109"/>
  <c r="E49" i="109"/>
  <c r="D49" i="109"/>
  <c r="C61" i="109"/>
  <c r="F59" i="109" s="1"/>
  <c r="E79" i="109" l="1"/>
  <c r="E106" i="109"/>
  <c r="E105" i="109" s="1"/>
  <c r="E110" i="109"/>
  <c r="D110" i="109"/>
  <c r="D79" i="109"/>
  <c r="D106" i="109"/>
  <c r="D105" i="109" s="1"/>
  <c r="E104" i="109"/>
  <c r="D104" i="109"/>
  <c r="C104" i="109"/>
  <c r="E103" i="109"/>
  <c r="D103" i="109"/>
  <c r="E93" i="109"/>
  <c r="D93" i="109"/>
  <c r="E95" i="109"/>
  <c r="D95" i="109"/>
  <c r="C105" i="109"/>
  <c r="E96" i="109"/>
  <c r="D96" i="109"/>
  <c r="E90" i="109"/>
  <c r="E89" i="109" s="1"/>
  <c r="D90" i="109"/>
  <c r="D89" i="109" s="1"/>
  <c r="C89" i="109"/>
  <c r="E84" i="109"/>
  <c r="D84" i="109"/>
  <c r="E86" i="109"/>
  <c r="D86" i="109"/>
  <c r="E85" i="109"/>
  <c r="D85" i="109"/>
  <c r="C85" i="109"/>
  <c r="E83" i="109"/>
  <c r="D83" i="109"/>
  <c r="C83" i="109"/>
  <c r="D80" i="109"/>
  <c r="C80" i="109"/>
  <c r="E82" i="109"/>
  <c r="D82" i="109"/>
  <c r="C82" i="109"/>
  <c r="E81" i="109"/>
  <c r="D81" i="109"/>
  <c r="C81" i="109"/>
  <c r="E94" i="109"/>
  <c r="D94" i="109"/>
  <c r="D59" i="109"/>
  <c r="C60" i="109"/>
  <c r="E61" i="109"/>
  <c r="D61" i="109"/>
  <c r="D68" i="109"/>
  <c r="E68" i="109"/>
  <c r="C68" i="109"/>
  <c r="D57" i="109"/>
  <c r="E57" i="109"/>
  <c r="C57" i="109"/>
  <c r="D55" i="109"/>
  <c r="D54" i="109" s="1"/>
  <c r="E55" i="109"/>
  <c r="E54" i="109" s="1"/>
  <c r="C55" i="109"/>
  <c r="C54" i="109" s="1"/>
  <c r="D52" i="109"/>
  <c r="E52" i="109"/>
  <c r="C52" i="109"/>
  <c r="D50" i="109"/>
  <c r="E50" i="109"/>
  <c r="C50" i="109"/>
  <c r="E33" i="109"/>
  <c r="D33" i="109"/>
  <c r="E37" i="109"/>
  <c r="E36" i="109" s="1"/>
  <c r="D37" i="109"/>
  <c r="D36" i="109" s="1"/>
  <c r="C36" i="109"/>
  <c r="E35" i="109"/>
  <c r="E34" i="109" s="1"/>
  <c r="D35" i="109"/>
  <c r="D34" i="109" s="1"/>
  <c r="C35" i="109"/>
  <c r="C34" i="109" s="1"/>
  <c r="E27" i="109"/>
  <c r="D27" i="109"/>
  <c r="C27" i="109"/>
  <c r="E30" i="109"/>
  <c r="D30" i="109"/>
  <c r="C30" i="109"/>
  <c r="E32" i="109"/>
  <c r="D32" i="109"/>
  <c r="C32" i="109"/>
  <c r="E31" i="109"/>
  <c r="D31" i="109"/>
  <c r="C31" i="109"/>
  <c r="E29" i="109"/>
  <c r="E28" i="109" s="1"/>
  <c r="D29" i="109"/>
  <c r="D28" i="109" s="1"/>
  <c r="C29" i="109"/>
  <c r="C28" i="109" s="1"/>
  <c r="D26" i="109"/>
  <c r="E26" i="109"/>
  <c r="E25" i="109"/>
  <c r="D25" i="109"/>
  <c r="E23" i="109"/>
  <c r="D23" i="109"/>
  <c r="E24" i="109"/>
  <c r="D24" i="109"/>
  <c r="E14" i="109"/>
  <c r="D14" i="109"/>
  <c r="C14" i="109"/>
  <c r="E9" i="109"/>
  <c r="E8" i="109" s="1"/>
  <c r="C9" i="109"/>
  <c r="C8" i="109" s="1"/>
  <c r="D9" i="109"/>
  <c r="D8" i="109" s="1"/>
  <c r="D108" i="109" l="1"/>
  <c r="G107" i="109"/>
  <c r="H107" i="109"/>
  <c r="E108" i="109"/>
  <c r="F7" i="109"/>
  <c r="D60" i="109"/>
  <c r="G59" i="109"/>
  <c r="F79" i="109"/>
  <c r="H79" i="109"/>
  <c r="E60" i="109"/>
  <c r="H59" i="109"/>
  <c r="G79" i="109"/>
  <c r="E116" i="106"/>
  <c r="E110" i="106" s="1"/>
  <c r="D116" i="106"/>
  <c r="D110" i="106" s="1"/>
  <c r="C116" i="106"/>
  <c r="C110" i="106" s="1"/>
  <c r="D15" i="106" l="1"/>
  <c r="E15" i="106"/>
  <c r="C15" i="106" l="1"/>
  <c r="D117" i="109" l="1"/>
  <c r="E117" i="109"/>
  <c r="G40" i="106" l="1"/>
  <c r="H40" i="106"/>
  <c r="G38" i="109"/>
  <c r="H38" i="109"/>
  <c r="F38" i="109"/>
  <c r="C77" i="106" l="1"/>
  <c r="D77" i="106"/>
  <c r="E77" i="106"/>
  <c r="C143" i="109" l="1"/>
  <c r="G79" i="106" l="1"/>
  <c r="H79" i="106"/>
  <c r="F79" i="106"/>
  <c r="C148" i="109"/>
  <c r="F49" i="109"/>
  <c r="F27" i="109"/>
  <c r="F20" i="109"/>
  <c r="F8" i="109"/>
  <c r="G129" i="109"/>
  <c r="H129" i="109"/>
  <c r="F129" i="109"/>
  <c r="H7" i="109"/>
  <c r="G7" i="109"/>
  <c r="D123" i="106"/>
  <c r="E123" i="106"/>
  <c r="D73" i="106"/>
  <c r="E73" i="106"/>
  <c r="C73" i="106"/>
  <c r="D71" i="106"/>
  <c r="E71" i="106"/>
  <c r="C71" i="106"/>
  <c r="D69" i="106"/>
  <c r="E69" i="106"/>
  <c r="C69" i="106"/>
  <c r="D38" i="106"/>
  <c r="E38" i="106"/>
  <c r="C38" i="106"/>
  <c r="D36" i="106"/>
  <c r="E36" i="106"/>
  <c r="C36" i="106"/>
  <c r="D33" i="106"/>
  <c r="E33" i="106"/>
  <c r="C33" i="106"/>
  <c r="D31" i="106"/>
  <c r="E31" i="106"/>
  <c r="C31" i="106"/>
  <c r="D26" i="106"/>
  <c r="E26" i="106"/>
  <c r="C26" i="106"/>
  <c r="D22" i="106"/>
  <c r="E22" i="106"/>
  <c r="C22" i="106"/>
  <c r="D11" i="106"/>
  <c r="E11" i="106"/>
  <c r="C11" i="106"/>
  <c r="D9" i="106"/>
  <c r="E9" i="106"/>
  <c r="C9" i="106"/>
  <c r="C117" i="109"/>
  <c r="G93" i="109"/>
  <c r="H93" i="109"/>
  <c r="F93" i="109"/>
  <c r="G84" i="109"/>
  <c r="H84" i="109"/>
  <c r="F84" i="109"/>
  <c r="G80" i="109"/>
  <c r="H80" i="109"/>
  <c r="F80" i="109"/>
  <c r="H71" i="109"/>
  <c r="G67" i="109"/>
  <c r="H67" i="109"/>
  <c r="F67" i="109"/>
  <c r="G49" i="109"/>
  <c r="H49" i="109"/>
  <c r="G33" i="109"/>
  <c r="H33" i="109"/>
  <c r="F33" i="109"/>
  <c r="G30" i="109"/>
  <c r="H30" i="109"/>
  <c r="G27" i="109"/>
  <c r="H27" i="109"/>
  <c r="G20" i="109"/>
  <c r="H20" i="109"/>
  <c r="G15" i="109"/>
  <c r="H15" i="109"/>
  <c r="F15" i="109"/>
  <c r="G14" i="109"/>
  <c r="H14" i="109"/>
  <c r="F14" i="109"/>
  <c r="G9" i="109"/>
  <c r="H9" i="109"/>
  <c r="G8" i="109"/>
  <c r="H8" i="109"/>
  <c r="E148" i="109"/>
  <c r="D148" i="109"/>
  <c r="I27" i="69"/>
  <c r="J27" i="69"/>
  <c r="H27" i="69"/>
  <c r="I29" i="69"/>
  <c r="J29" i="69"/>
  <c r="H29" i="69"/>
  <c r="H25" i="69"/>
  <c r="I25" i="69"/>
  <c r="J25" i="69"/>
  <c r="I37" i="69"/>
  <c r="J37" i="69"/>
  <c r="H37" i="69"/>
  <c r="I8" i="69"/>
  <c r="J8" i="69"/>
  <c r="H8" i="69"/>
  <c r="I17" i="69"/>
  <c r="J17" i="69"/>
  <c r="H17" i="69"/>
  <c r="I52" i="69"/>
  <c r="J52" i="69"/>
  <c r="H52" i="69"/>
  <c r="I65" i="69"/>
  <c r="J65" i="69"/>
  <c r="H65" i="69"/>
  <c r="I97" i="69"/>
  <c r="J97" i="69"/>
  <c r="H97" i="69"/>
  <c r="I95" i="69"/>
  <c r="J95" i="69"/>
  <c r="H95" i="69"/>
  <c r="I93" i="69"/>
  <c r="J93" i="69"/>
  <c r="H93" i="69"/>
  <c r="I50" i="69"/>
  <c r="J50" i="69"/>
  <c r="H50" i="69"/>
  <c r="I70" i="69"/>
  <c r="J70" i="69"/>
  <c r="H70" i="69"/>
  <c r="I68" i="69"/>
  <c r="J68" i="69"/>
  <c r="H68" i="69"/>
  <c r="I31" i="69"/>
  <c r="J31" i="69"/>
  <c r="H31" i="69"/>
  <c r="I41" i="69"/>
  <c r="J41" i="69"/>
  <c r="H41" i="69"/>
  <c r="I35" i="69"/>
  <c r="J35" i="69"/>
  <c r="H35" i="69"/>
  <c r="I46" i="69"/>
  <c r="J46" i="69"/>
  <c r="H46" i="69"/>
  <c r="I61" i="69"/>
  <c r="J61" i="69"/>
  <c r="H61" i="69"/>
  <c r="I91" i="69"/>
  <c r="I44" i="69"/>
  <c r="J44" i="69"/>
  <c r="H44" i="69"/>
  <c r="I63" i="69"/>
  <c r="J63" i="69"/>
  <c r="H63" i="69"/>
  <c r="I74" i="69"/>
  <c r="I23" i="69"/>
  <c r="I55" i="69"/>
  <c r="I57" i="69"/>
  <c r="I59" i="69"/>
  <c r="I72" i="69"/>
  <c r="I77" i="69"/>
  <c r="I79" i="69"/>
  <c r="I81" i="69"/>
  <c r="I83" i="69"/>
  <c r="I85" i="69"/>
  <c r="I87" i="69"/>
  <c r="I89" i="69"/>
  <c r="I48" i="69"/>
  <c r="J74" i="69"/>
  <c r="J23" i="69"/>
  <c r="J55" i="69"/>
  <c r="J57" i="69"/>
  <c r="J59" i="69"/>
  <c r="J72" i="69"/>
  <c r="J77" i="69"/>
  <c r="J79" i="69"/>
  <c r="J81" i="69"/>
  <c r="J83" i="69"/>
  <c r="J85" i="69"/>
  <c r="J87" i="69"/>
  <c r="J89" i="69"/>
  <c r="J91" i="69"/>
  <c r="J48" i="69"/>
  <c r="H74" i="69"/>
  <c r="H23" i="69"/>
  <c r="H55" i="69"/>
  <c r="H57" i="69"/>
  <c r="H59" i="69"/>
  <c r="H72" i="69"/>
  <c r="H77" i="69"/>
  <c r="H79" i="69"/>
  <c r="H81" i="69"/>
  <c r="H83" i="69"/>
  <c r="H85" i="69"/>
  <c r="H87" i="69"/>
  <c r="H89" i="69"/>
  <c r="H91" i="69"/>
  <c r="H48" i="69"/>
  <c r="I11" i="69"/>
  <c r="J11" i="69"/>
  <c r="H11" i="69"/>
  <c r="F9" i="109"/>
  <c r="C135" i="106" l="1"/>
  <c r="E135" i="106"/>
  <c r="D135" i="106"/>
  <c r="F40" i="106"/>
  <c r="F48" i="109"/>
  <c r="G71" i="109"/>
  <c r="F71" i="109"/>
  <c r="G48" i="109"/>
  <c r="H99" i="69"/>
  <c r="I99" i="69"/>
  <c r="J99" i="69"/>
  <c r="H48" i="109"/>
  <c r="F30" i="109"/>
</calcChain>
</file>

<file path=xl/sharedStrings.xml><?xml version="1.0" encoding="utf-8"?>
<sst xmlns="http://schemas.openxmlformats.org/spreadsheetml/2006/main" count="8013" uniqueCount="1529">
  <si>
    <t>Перечень</t>
  </si>
  <si>
    <t>(тыс. руб.)</t>
  </si>
  <si>
    <t>(тыс.руб.)</t>
  </si>
  <si>
    <t>НАЛОГОВЫЕ И НЕНАЛОГОВЫЕ ДОХОДЫ</t>
  </si>
  <si>
    <t>05</t>
  </si>
  <si>
    <t>11</t>
  </si>
  <si>
    <t>13</t>
  </si>
  <si>
    <t>НАЛОГИ НА ПРИБЫЛЬ, ДОХОДЫ</t>
  </si>
  <si>
    <t>НАЛОГИ НА СОВОКУПНЫЙ ДОХОД</t>
  </si>
  <si>
    <t xml:space="preserve"> 1 05 02000 00 0000 110</t>
  </si>
  <si>
    <t xml:space="preserve"> 1 05 03000 00 0000 110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</si>
  <si>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</si>
  <si>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</si>
  <si>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</si>
  <si>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</si>
  <si>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</si>
  <si>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</si>
  <si>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</si>
  <si>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</si>
  <si>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</si>
  <si>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Единый налог на вмененный доход для отдельных видов деятельности</t>
  </si>
  <si>
    <t xml:space="preserve"> 1 05 02010 02 0000 110</t>
  </si>
  <si>
    <t>Единый сельскохозяйственный налог</t>
  </si>
  <si>
    <t xml:space="preserve"> 1 05 03010 01 0000 110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</si>
  <si>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</si>
  <si>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1 06 01020 04 0000 110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</si>
  <si>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</si>
  <si>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</si>
  <si>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</si>
  <si>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Администрация городского округа Кинешма</t>
  </si>
  <si>
    <t>954</t>
  </si>
  <si>
    <t>1.</t>
  </si>
  <si>
    <t>2.</t>
  </si>
  <si>
    <t>3.</t>
  </si>
  <si>
    <t>4.</t>
  </si>
  <si>
    <t>5.</t>
  </si>
  <si>
    <t>0707</t>
  </si>
  <si>
    <t>ИТОГО</t>
  </si>
  <si>
    <t>Наименование</t>
  </si>
  <si>
    <t>Управление образования администрации городского округа Кинешма</t>
  </si>
  <si>
    <t>182</t>
  </si>
  <si>
    <t>965</t>
  </si>
  <si>
    <t>Код бюджетной классификации Российской Федерации</t>
  </si>
  <si>
    <t>106</t>
  </si>
  <si>
    <t>141</t>
  </si>
  <si>
    <t>Приложение № 12</t>
  </si>
  <si>
    <t>Цель
гарантирования</t>
  </si>
  <si>
    <t>Наименование 
принципала</t>
  </si>
  <si>
    <t>Наличие права
регрессного
требования</t>
  </si>
  <si>
    <t>Иные условия
предоставления
муниципальных
гарантий</t>
  </si>
  <si>
    <t>1</t>
  </si>
  <si>
    <t>1.1</t>
  </si>
  <si>
    <t>5800,0</t>
  </si>
  <si>
    <t>По заимствованиям
муниципальное унитарное  предприятие "Водоканал"</t>
  </si>
  <si>
    <t>Раздел,
подраздел</t>
  </si>
  <si>
    <t>Целевая 
статья</t>
  </si>
  <si>
    <t>Вид
расхода</t>
  </si>
  <si>
    <t>953</t>
  </si>
  <si>
    <t>958</t>
  </si>
  <si>
    <t>951</t>
  </si>
  <si>
    <t>961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</si>
  <si>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</si>
  <si>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Наименование доходов</t>
  </si>
  <si>
    <t>№ 
п/п</t>
  </si>
  <si>
    <t xml:space="preserve">от </t>
  </si>
  <si>
    <t>188</t>
  </si>
  <si>
    <t>Прочие неналоговые доходы бюджетов городских округов</t>
  </si>
  <si>
    <t xml:space="preserve">"О бюджете городского округа Кинешма  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</si>
  <si>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</si>
  <si>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</si>
  <si>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</si>
  <si>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</si>
  <si>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</si>
  <si>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</si>
  <si>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</si>
  <si>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</si>
  <si>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</si>
  <si>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</si>
  <si>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</si>
  <si>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</si>
  <si>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</si>
  <si>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 xml:space="preserve">Ведомственная целевая программа
 «Организация отдыха, оздоровления и занятости детей и подростков городского округа Кинешма». </t>
  </si>
  <si>
    <t>19.</t>
  </si>
  <si>
    <t>20.</t>
  </si>
  <si>
    <t>21.</t>
  </si>
  <si>
    <t>22.</t>
  </si>
  <si>
    <t>23.</t>
  </si>
  <si>
    <t>Комитет по физической культуре и спорту администрации городского округа Кинешма"</t>
  </si>
  <si>
    <t>Закрытое акционерное
 общество АКБ "Инвестиционный торговый банк"</t>
  </si>
  <si>
    <t>имеется</t>
  </si>
  <si>
    <t>Муниципальная гарантия городского
 округа Кинешма не обеспечивает
 исполнение обязательств по уплате 
неустоек( пеней, штрафов)</t>
  </si>
  <si>
    <t>Итого общий объём 
гарантий</t>
  </si>
  <si>
    <t>1.2</t>
  </si>
  <si>
    <t>Исполнение муниципальных гарантий
 городского округа Кинешма</t>
  </si>
  <si>
    <t>За счет источников внутреннего финансирования дефицита 
бюджета городского округа Кинешма</t>
  </si>
  <si>
    <t>За  счет расходов бюджета городского округа Кинешма</t>
  </si>
  <si>
    <t xml:space="preserve">Общая 
сумма
</t>
  </si>
  <si>
    <t>2012 год</t>
  </si>
  <si>
    <t>2013 год</t>
  </si>
  <si>
    <t>Сумма гарантирования ( тыс.руб.)</t>
  </si>
  <si>
    <t>объём бюджетных
 ассигнований на
 исполнение
 гарантий по 
возможным
 гарантийным
 случаям в 
2012 году (тыс.руб.)</t>
  </si>
  <si>
    <t>объём бюджетных
 ассигнований на
 исполнение
 гарантий по 
возможным
 гарантийным
 случаям в 
2013 году (тыс.руб.)</t>
  </si>
  <si>
    <t>№</t>
  </si>
  <si>
    <t>к решению городской Думы городского 
округа Кинешма  пятого созыва</t>
  </si>
  <si>
    <t>ПРОГРАММА   МУНИЦИПАЛЬНЫХ    ГАРАНТИЙ 
городского округа  Кинешма  
 на 2012 год и плановый период 2013 и 2014 годов</t>
  </si>
  <si>
    <t>на 2012 год и  плановый период 2013 и 2014 годов"</t>
  </si>
  <si>
    <t>11600,0</t>
  </si>
  <si>
    <t>Перечень подлежащих предоставлению и исполнению муниципальных гарантий
 городского округа Кинешма в 2012 -2014 годах</t>
  </si>
  <si>
    <t>2014 год</t>
  </si>
  <si>
    <t>0</t>
  </si>
  <si>
    <t>объём бюджетных
 ассигнований на
 исполнение
 гарантий по 
возможным
 гарантийным
 случаям в 
2014 году (тыс.руб.)</t>
  </si>
  <si>
    <t>Общий объем бюджетных ассигнований, предусмотренных на исполнение муниципальных гарантий городского округа Кинешма по возможным гарантийным случаям в 2012 году и  плановый период 2013 и 2014 годов.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</si>
  <si>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 средств по указанному имуществу</t>
  </si>
  <si>
    <t>ШТРАФЫ, САНКЦИИ, ВОЗМЕЩЕНИЕ УЩЕРБА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</si>
  <si>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</si>
  <si>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</si>
  <si>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</si>
  <si>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1 14 06000 00 0000 430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</si>
  <si>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</si>
  <si>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 xml:space="preserve"> 1 16 90040 04 0000 140</t>
  </si>
  <si>
    <t>048</t>
  </si>
  <si>
    <t>Плата за негативное воздействие на окружающую среду</t>
  </si>
  <si>
    <t xml:space="preserve"> 1 12 01000 01 0000 120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</si>
  <si>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</si>
  <si>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1 16 28000 01 0000 140</t>
  </si>
  <si>
    <t xml:space="preserve"> 1 01 02010 01 0000 110</t>
  </si>
  <si>
    <t>Комитет по физической культуре и спорту администрации городского округа Кинешма</t>
  </si>
  <si>
    <t>городская Дума городского округа Кинешма</t>
  </si>
  <si>
    <t>962</t>
  </si>
  <si>
    <t>Контрольно-счетная комиссия городского округа Кинешма</t>
  </si>
  <si>
    <t>963</t>
  </si>
  <si>
    <t xml:space="preserve"> 1 08 03010 01 0000 110</t>
  </si>
  <si>
    <t xml:space="preserve">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</si>
  <si>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</si>
  <si>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1 16 03030 01 0000 140</t>
  </si>
  <si>
    <t xml:space="preserve"> 1 17 05040 04 0004 180</t>
  </si>
  <si>
    <t>Финансовое управление администрации городского округа Кинешма</t>
  </si>
  <si>
    <t>Дотации бюджетам городских округов на выравнивание бюджетной обеспеченности</t>
  </si>
  <si>
    <t>Прочие субсидии бюджетам городских округов</t>
  </si>
  <si>
    <t>Субвенции бюджетам городских округов на выполнение передаваемых полномочий субъектов Российской Федерации</t>
  </si>
  <si>
    <t xml:space="preserve"> 1 11 05034 04 0000 120</t>
  </si>
  <si>
    <t xml:space="preserve"> 1 11 09044 04 0000 120</t>
  </si>
  <si>
    <t>Прочие доходы от оказания платных услуг (работ) получателями средств бюджетов городских округов</t>
  </si>
  <si>
    <t xml:space="preserve"> 1 13 01994 04 0000 130</t>
  </si>
  <si>
    <t>Государственная пошлина за выдачу разрешения на установку рекламной конструкции</t>
  </si>
  <si>
    <t xml:space="preserve"> 1 08 07150 01 0000 110</t>
  </si>
  <si>
    <t xml:space="preserve"> 1 11 07014 04 0000 120</t>
  </si>
  <si>
    <t>Плата по договорам на установку и эксплуатацию рекламной конструкции для учета прочих неналоговых доходов бюджетов городских округов</t>
  </si>
  <si>
    <t xml:space="preserve"> 1 17 05040 04 0002 180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</si>
  <si>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</si>
  <si>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1 11 05012 04 0000 120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</si>
  <si>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</si>
  <si>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1 14 02043 04 0000 410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</si>
  <si>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</si>
  <si>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1 14 06012 04 0000 430</t>
  </si>
  <si>
    <t>Взносы от погашения ипотечных кредитов для учета прочих неналоговых доходов бюджетов городских округов</t>
  </si>
  <si>
    <t xml:space="preserve"> 1 17 05040 04 0003 180</t>
  </si>
  <si>
    <t>В С Е Г О:</t>
  </si>
  <si>
    <t xml:space="preserve"> 1 00 00000 00 0000 000</t>
  </si>
  <si>
    <t xml:space="preserve"> 1 01 00000 00 0000 000</t>
  </si>
  <si>
    <t xml:space="preserve"> 1 01 02000 01 0000 110</t>
  </si>
  <si>
    <t>Налог на доходы физических лиц</t>
  </si>
  <si>
    <t xml:space="preserve"> 1 05 00000 00 0000 000</t>
  </si>
  <si>
    <t xml:space="preserve"> 1 06 00000 00 0000 000</t>
  </si>
  <si>
    <t xml:space="preserve"> 1 06 01000 00 0000 110</t>
  </si>
  <si>
    <t>Налог на имущество физических лиц</t>
  </si>
  <si>
    <t xml:space="preserve"> 1 06 06000 00 0000 110</t>
  </si>
  <si>
    <t>Земельный налог</t>
  </si>
  <si>
    <t xml:space="preserve"> 1 08 00000 00 0000 000</t>
  </si>
  <si>
    <t xml:space="preserve"> 1 08 03000 01 0000 110</t>
  </si>
  <si>
    <t>Государственная пошлина по делам, рассматриваемым в судах общей юрисдикции, мировыми судьями</t>
  </si>
  <si>
    <t xml:space="preserve">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</si>
  <si>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</si>
  <si>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1 11 00000 00 0000 000</t>
  </si>
  <si>
    <t xml:space="preserve"> 1 11 05000 00 0000 120</t>
  </si>
  <si>
    <t xml:space="preserve"> 1 11 07000 00 0000 120</t>
  </si>
  <si>
    <t>Платежи от государственных и муниципальных унитарных предприятий</t>
  </si>
  <si>
    <t xml:space="preserve"> 1 11 09000 00 0000 120</t>
  </si>
  <si>
    <t xml:space="preserve"> 1 12 00000 00 0000 000</t>
  </si>
  <si>
    <t xml:space="preserve"> 1 13 00000 00 0000 000</t>
  </si>
  <si>
    <t xml:space="preserve"> 1 13 01000 00 0000 000</t>
  </si>
  <si>
    <t xml:space="preserve"> 1 14 00000 00 0000 000</t>
  </si>
  <si>
    <t xml:space="preserve"> 1 16 00000 00 0000 000</t>
  </si>
  <si>
    <t xml:space="preserve"> 1 16 03000 00 0000 140</t>
  </si>
  <si>
    <t>Денежные взыскания (штрафы) за нарушение законодательства о налогах и сборах</t>
  </si>
  <si>
    <t xml:space="preserve"> 1 16 90000 00 0000 140</t>
  </si>
  <si>
    <t>Прочие поступления от денежных взысканий (штрафов) и иных сумм в возмещение ущерба</t>
  </si>
  <si>
    <t xml:space="preserve"> 1 17 00000 00 0000 000</t>
  </si>
  <si>
    <t xml:space="preserve"> 1 17 05000 00 0000 180</t>
  </si>
  <si>
    <t>Прочие неналоговые доходы</t>
  </si>
  <si>
    <t xml:space="preserve"> 2 00 00000 00 0000 000</t>
  </si>
  <si>
    <t>БЕЗВОЗМЕЗДНЫЕ ПОСТУПЛЕНИЯ</t>
  </si>
  <si>
    <t xml:space="preserve"> 2 02 00000 00 0000 000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</si>
  <si>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</si>
  <si>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</si>
  <si>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04</t>
  </si>
  <si>
    <t>12</t>
  </si>
  <si>
    <t>07</t>
  </si>
  <si>
    <t>02</t>
  </si>
  <si>
    <t>08</t>
  </si>
  <si>
    <t>01</t>
  </si>
  <si>
    <t>09</t>
  </si>
  <si>
    <t>03</t>
  </si>
  <si>
    <t>10</t>
  </si>
  <si>
    <t>06</t>
  </si>
  <si>
    <t>2015 год</t>
  </si>
  <si>
    <t>,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</si>
  <si>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</si>
  <si>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</si>
  <si>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</si>
  <si>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</si>
  <si>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</si>
  <si>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</si>
  <si>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</si>
  <si>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</si>
  <si>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</si>
  <si>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</si>
  <si>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</si>
  <si>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</si>
  <si>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 частной практикой в соответствии со статьей 227 Налогового кодекса Российской Федерации</t>
  </si>
  <si>
    <t>1 12 01010 01 0000 120</t>
  </si>
  <si>
    <t>Плата  за   выбросы   загрязняющих   веществ   в   атмосферный воздух стационарными объектами</t>
  </si>
  <si>
    <t>1 12 01030 01 0000 120</t>
  </si>
  <si>
    <t>Плата за сбросы загрязняющих  веществ  в  водные объекты</t>
  </si>
  <si>
    <t xml:space="preserve"> 1 12 01040 01 0000 120</t>
  </si>
  <si>
    <t>Плата за размещение отходов производства и потребления</t>
  </si>
  <si>
    <t xml:space="preserve"> 1 16 25000 00 0000 140</t>
  </si>
  <si>
    <t>1 16 25060 01 0000 140</t>
  </si>
  <si>
    <t xml:space="preserve">Денежные взыскания (штрафы) за нарушение земельного законодательства
</t>
  </si>
  <si>
    <t>Управление государственного автодорожного надзора по Ивановской области Федеральной службы по надзору в сфере транспорта</t>
  </si>
  <si>
    <t>Управление Федеральной службы по надзору в сфере защиты прав потребителей и благополучия человека по Ивановской области</t>
  </si>
  <si>
    <t>Федеральное казенное учреждение "Центр Государственной инспекции по маломерным судам Министерства Российской Федерации по делам гражданской обороны, чрезвычайным ситуациям и ликвидации последствий стихийных бедствий по Ивановской области"</t>
  </si>
  <si>
    <t>Управление Федеральной службы государственной регистрации, кадастра и картографии по Ивановской области</t>
  </si>
  <si>
    <t>34.</t>
  </si>
  <si>
    <t>35.</t>
  </si>
  <si>
    <t>36.</t>
  </si>
  <si>
    <t xml:space="preserve">               </t>
  </si>
  <si>
    <t xml:space="preserve">Приложение  7
к проекту  решения городской Думы городского 
округа Кинешма 
"О бюджете городского округа  Кинешма на 2014 год и плановый  период 2015и 2016 годов
от ______________№__________     
</t>
  </si>
  <si>
    <t xml:space="preserve"> на  2014 год и  плановый период 2015 и 2016 годов.</t>
  </si>
  <si>
    <t>муниципальных  программ</t>
  </si>
  <si>
    <t>2016 год</t>
  </si>
  <si>
    <t>администратор</t>
  </si>
  <si>
    <t xml:space="preserve">Наименование программы
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</si>
  <si>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</si>
  <si>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</si>
  <si>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</si>
  <si>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</si>
  <si>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</si>
  <si>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</si>
  <si>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</si>
  <si>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1 05 04000 02 0000 110</t>
  </si>
  <si>
    <t>1 05 04010 02 0000 110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</si>
  <si>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</si>
  <si>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</si>
  <si>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1 16 06000 01 0000 140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</si>
  <si>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</si>
  <si>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1 16 33000 00 0000 140 </t>
  </si>
  <si>
    <t xml:space="preserve">1 16 33040 04 0000 140 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</si>
  <si>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</si>
  <si>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</si>
  <si>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</si>
  <si>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</si>
  <si>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</si>
  <si>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</si>
  <si>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Управление Федеральной антимонопольной службы по Ивановской области</t>
  </si>
  <si>
    <t>100</t>
  </si>
  <si>
    <t>200</t>
  </si>
  <si>
    <t>800</t>
  </si>
  <si>
    <t>600</t>
  </si>
  <si>
    <t>700</t>
  </si>
  <si>
    <t>400</t>
  </si>
  <si>
    <t>300</t>
  </si>
  <si>
    <t>Управление Федерального казначейства по Ивановской области</t>
  </si>
  <si>
    <t>1 16 08000 01 0000 140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</si>
  <si>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
</t>
  </si>
  <si>
    <t>1 16 08010 01 0000 140</t>
  </si>
  <si>
    <t>1 16 43000 01 0000 140</t>
  </si>
  <si>
    <t>1 16 51020 02 0000 140</t>
  </si>
  <si>
    <t xml:space="preserve"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
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</si>
  <si>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</si>
  <si>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Управление Министерства внутренних дел Российской Федерации по Ивановской области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</si>
  <si>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</si>
  <si>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</si>
  <si>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субвенции бюджетам городских округов</t>
  </si>
  <si>
    <t>Комитет имущественных и земельных отношений администрации городского округа Кинешма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</si>
  <si>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</si>
  <si>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 xml:space="preserve"> 1 06 06042 04 0000 110</t>
  </si>
  <si>
    <t xml:space="preserve">Земельный налог с организаций, обладающих земельным участком, расположенным в границах городских округов
</t>
  </si>
  <si>
    <t xml:space="preserve">Земельный налог с физических лиц, обладающих земельным участком, расположенным в границах городских округов
</t>
  </si>
  <si>
    <t>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</si>
  <si>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</si>
  <si>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
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</si>
  <si>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</si>
  <si>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</si>
  <si>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</si>
  <si>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</si>
  <si>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Межрайонная инспекция Федеральной налоговой службы №5 по Ивановской области</t>
  </si>
  <si>
    <t xml:space="preserve"> 1 06 06032 04 0000 110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</si>
  <si>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</si>
  <si>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</si>
  <si>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</si>
  <si>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Доходы от продажи земельных участков, находящихся в государственной и муниципальной собственности</t>
  </si>
  <si>
    <t xml:space="preserve"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
</t>
  </si>
  <si>
    <t>4100000000</t>
  </si>
  <si>
    <t>4130100000</t>
  </si>
  <si>
    <t>4130100040</t>
  </si>
  <si>
    <t>4130180150</t>
  </si>
  <si>
    <t>4130180160</t>
  </si>
  <si>
    <t>4110000000</t>
  </si>
  <si>
    <t>4110100000</t>
  </si>
  <si>
    <t>4110100030</t>
  </si>
  <si>
    <t>4110180100</t>
  </si>
  <si>
    <t>4110180170</t>
  </si>
  <si>
    <t>4140000000</t>
  </si>
  <si>
    <t>4140100000</t>
  </si>
  <si>
    <t>4140100060</t>
  </si>
  <si>
    <t>4140200000</t>
  </si>
  <si>
    <t>4160000000</t>
  </si>
  <si>
    <t>4160100000</t>
  </si>
  <si>
    <t>4160100090</t>
  </si>
  <si>
    <t>4160100100</t>
  </si>
  <si>
    <t>4170000000</t>
  </si>
  <si>
    <t>4170200000</t>
  </si>
  <si>
    <t>4170210290</t>
  </si>
  <si>
    <t>4170300000</t>
  </si>
  <si>
    <t>4200000000</t>
  </si>
  <si>
    <t>4210000000</t>
  </si>
  <si>
    <t>4210100000</t>
  </si>
  <si>
    <t>4210100180</t>
  </si>
  <si>
    <t>4210100280</t>
  </si>
  <si>
    <t>4210200000</t>
  </si>
  <si>
    <t>4210200130</t>
  </si>
  <si>
    <t>4210300000</t>
  </si>
  <si>
    <t>4210310080</t>
  </si>
  <si>
    <t>4220000000</t>
  </si>
  <si>
    <t>4220100000</t>
  </si>
  <si>
    <t>4220100110</t>
  </si>
  <si>
    <t>4230000000</t>
  </si>
  <si>
    <t>4230100000</t>
  </si>
  <si>
    <t>4230100140</t>
  </si>
  <si>
    <t>4300000000</t>
  </si>
  <si>
    <t>4310000000</t>
  </si>
  <si>
    <t>4310100000</t>
  </si>
  <si>
    <t>4320000000</t>
  </si>
  <si>
    <t>4320100000</t>
  </si>
  <si>
    <t>4400000000</t>
  </si>
  <si>
    <t>4410000000</t>
  </si>
  <si>
    <t>4410100000</t>
  </si>
  <si>
    <t>4420000000</t>
  </si>
  <si>
    <t>4420100000</t>
  </si>
  <si>
    <t>4430000000</t>
  </si>
  <si>
    <t>4430100000</t>
  </si>
  <si>
    <t>4430110130</t>
  </si>
  <si>
    <t>4500000000</t>
  </si>
  <si>
    <t>4510000000</t>
  </si>
  <si>
    <t>4510100000</t>
  </si>
  <si>
    <t>4510110160</t>
  </si>
  <si>
    <t>4510110330</t>
  </si>
  <si>
    <t>4510110340</t>
  </si>
  <si>
    <t>4510110550</t>
  </si>
  <si>
    <t>4510120070</t>
  </si>
  <si>
    <t>4510120100</t>
  </si>
  <si>
    <t>4510120110</t>
  </si>
  <si>
    <t>4510120120</t>
  </si>
  <si>
    <t>4600000000</t>
  </si>
  <si>
    <t>4610000000</t>
  </si>
  <si>
    <t>4610100000</t>
  </si>
  <si>
    <t>4610100160</t>
  </si>
  <si>
    <t>4620000000</t>
  </si>
  <si>
    <t>4620100000</t>
  </si>
  <si>
    <t>4700000000</t>
  </si>
  <si>
    <t>4800000000</t>
  </si>
  <si>
    <t>4810000000</t>
  </si>
  <si>
    <t>4810100000</t>
  </si>
  <si>
    <t>4810100190</t>
  </si>
  <si>
    <t>4820000000</t>
  </si>
  <si>
    <t>4820100000</t>
  </si>
  <si>
    <t>4900000000</t>
  </si>
  <si>
    <t>5000000000</t>
  </si>
  <si>
    <t>5010000000</t>
  </si>
  <si>
    <t>5010100000</t>
  </si>
  <si>
    <t>5020000000</t>
  </si>
  <si>
    <t>5020100000</t>
  </si>
  <si>
    <t>5020110220</t>
  </si>
  <si>
    <t>5020110230</t>
  </si>
  <si>
    <t>5020110240</t>
  </si>
  <si>
    <t>5100000000</t>
  </si>
  <si>
    <t>5110000000</t>
  </si>
  <si>
    <t>5110100000</t>
  </si>
  <si>
    <t>5200000000</t>
  </si>
  <si>
    <t>5300000000</t>
  </si>
  <si>
    <t>5310000000</t>
  </si>
  <si>
    <t>5310100000</t>
  </si>
  <si>
    <t>5320000000</t>
  </si>
  <si>
    <t>5320100000</t>
  </si>
  <si>
    <t>5320110270</t>
  </si>
  <si>
    <t>5400000000</t>
  </si>
  <si>
    <t>5410000000</t>
  </si>
  <si>
    <t>5410100000</t>
  </si>
  <si>
    <t>5410100350</t>
  </si>
  <si>
    <t>5410100360</t>
  </si>
  <si>
    <t>5410200000</t>
  </si>
  <si>
    <t>5410280350</t>
  </si>
  <si>
    <t>5410280360</t>
  </si>
  <si>
    <t>5420000000</t>
  </si>
  <si>
    <t>5420100000</t>
  </si>
  <si>
    <t>7000000000</t>
  </si>
  <si>
    <t>7010000000</t>
  </si>
  <si>
    <t>7010000430</t>
  </si>
  <si>
    <t>7010000440</t>
  </si>
  <si>
    <t>7010000450</t>
  </si>
  <si>
    <t>7090000000</t>
  </si>
  <si>
    <t>7090060030</t>
  </si>
  <si>
    <t>7100000000</t>
  </si>
  <si>
    <t>7110000000</t>
  </si>
  <si>
    <t>7110000460</t>
  </si>
  <si>
    <t>7110000470</t>
  </si>
  <si>
    <t>7200000000</t>
  </si>
  <si>
    <t>7210000000</t>
  </si>
  <si>
    <t>7210010290</t>
  </si>
  <si>
    <t>7400000000</t>
  </si>
  <si>
    <t>7490000000</t>
  </si>
  <si>
    <t>4130000000</t>
  </si>
  <si>
    <t>Непрограммные направления деятельности бюджета городского округа Кинешма городской Думы городского округа Кинешма</t>
  </si>
  <si>
    <t>Непрограммные направления деятельности бюджета городского округа Кинешма Контрольно-счетной комиссии городского округа Кинешма</t>
  </si>
  <si>
    <t>Непрограммные направления деятельности бюджета городского округа Кинешма резервного фонда администрации городского округа Кинешма</t>
  </si>
  <si>
    <t>Непрограммные направления деятельности бюджета городского округа Кинешма на исполнение судебных актов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</si>
  <si>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</si>
  <si>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</si>
  <si>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Муниципальная программа городского округа Кинешма "Развитие образования городского округа Кинешма"</t>
  </si>
  <si>
    <t>Муниципальная программа городского округа Кинешма "Культура городского округа Кинешма"</t>
  </si>
  <si>
    <t>Муниципальная программа городского округа Кинешма "Развитие физической культуры и спорта в городском округе Кинешма"</t>
  </si>
  <si>
    <t>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</si>
  <si>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>Муниципальная программа городского округа Кинешма "Развитие транспортной системы в городском округе Кинешма"</t>
  </si>
  <si>
    <t>Муниципальная программа городского округа Кинешма "Благоустройство городского округа Кинешма"</t>
  </si>
  <si>
    <t>Муниципальная программа городского округа Кинешма "Управление муниципальными финансами и муниципальным долгом"</t>
  </si>
  <si>
    <t>Муниципальная программа городского округа Кинешма "Совершенствование местного самоуправления городского округа Кинешма"</t>
  </si>
  <si>
    <t>4610100170</t>
  </si>
  <si>
    <t xml:space="preserve"> 1 17 05040 04 0006 180</t>
  </si>
  <si>
    <t>Плата по договорам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</si>
  <si>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1 17 05040 04 0006 180</t>
  </si>
  <si>
    <t>1 17 01040 04 0000 180</t>
  </si>
  <si>
    <t>Невыясненные поступления, зачисляемые в бюджеты городских округов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</si>
  <si>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</si>
  <si>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8000000000</t>
  </si>
  <si>
    <t>8090000000</t>
  </si>
  <si>
    <t>Непрограммные направления деятельности бюджета городского округа Кинешма по прочим расходам</t>
  </si>
  <si>
    <t>1 16 25030 01 0000 140</t>
  </si>
  <si>
    <t xml:space="preserve">Денежные взыскания (штрафы) за нарушение законодательства Российской Федерации об охране и использовании животного мира </t>
  </si>
  <si>
    <t>076</t>
  </si>
  <si>
    <t>1 16 25030 01 6000 140</t>
  </si>
  <si>
    <t xml:space="preserve">Денежные взыскания (штрафы) за нарушение законодательства об охране и использовании животного мира </t>
  </si>
  <si>
    <t>1 16 90040 04 6000 140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</si>
  <si>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</si>
  <si>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4530000000</t>
  </si>
  <si>
    <t>4530100000</t>
  </si>
  <si>
    <t>Сумма</t>
  </si>
  <si>
    <t>2019 год</t>
  </si>
  <si>
    <t xml:space="preserve">Сумма </t>
  </si>
  <si>
    <t>на 2019 год</t>
  </si>
  <si>
    <t xml:space="preserve">Отдел государственного контроля, надзора и охраны водных биологических ресурсов по Ивановской области Московско-Окского территориального управления Федерального агентства по рыболовству </t>
  </si>
  <si>
    <t>Управление Федеральной службы судебных приставов по Ивановской области</t>
  </si>
  <si>
    <t>4520000000</t>
  </si>
  <si>
    <t>4520100000</t>
  </si>
  <si>
    <t>4310110990</t>
  </si>
  <si>
    <t>Муниципальная программа городского округа Кинешма "Управление муниципальным имуществом в городском округе Кинешма"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</si>
  <si>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</si>
  <si>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"Комитет по культуре и туризму администрации городского округа Кинешма"</t>
  </si>
  <si>
    <t xml:space="preserve">  ОБЩЕГОСУДАРСТВЕННЫЕ ВОПРОСЫ</t>
  </si>
  <si>
    <t xml:space="preserve">    Другие общегосударственные вопросы</t>
  </si>
  <si>
    <t xml:space="preserve">      Муниципальная программа городского округа Кинешма "Культура городского округа Кинешма"</t>
  </si>
  <si>
    <t xml:space="preserve">        Подпрограмма "Наследие"</t>
  </si>
  <si>
    <t xml:space="preserve">  НАЦИОНАЛЬНАЯ ЭКОНОМИКА</t>
  </si>
  <si>
    <t xml:space="preserve">    Другие вопросы в области национальной экономики</t>
  </si>
  <si>
    <t xml:space="preserve">        Подпрограмма "Развитие туризма в городском округе Кинешма"</t>
  </si>
  <si>
    <t xml:space="preserve">  ОБРАЗОВАНИЕ</t>
  </si>
  <si>
    <t xml:space="preserve">    Дополнительное образование детей</t>
  </si>
  <si>
    <t xml:space="preserve">      Муниципальная программа городского округа Кинешма "Развитие образования городского округа Кинешма"</t>
  </si>
  <si>
    <t xml:space="preserve">        Подпрограмма "Дополнительное образование в муниципальных организациях городского округа Кинешма"</t>
  </si>
  <si>
    <t xml:space="preserve">        Подпрограмма "Дети города Кинешма"</t>
  </si>
  <si>
    <t xml:space="preserve">  КУЛЬТУРА, КИНЕМАТОГРАФИЯ</t>
  </si>
  <si>
    <t xml:space="preserve">    Культура</t>
  </si>
  <si>
    <t xml:space="preserve">        Подпрограмма "Культурно-досуговая деятельность"</t>
  </si>
  <si>
    <t xml:space="preserve">    Другие вопросы в области культуры, кинематографии</t>
  </si>
  <si>
    <t xml:space="preserve">      Муниципальная программа городского округа Кинешма "Совершенствование местного самоуправления городского округа Кинешма"</t>
  </si>
  <si>
    <t xml:space="preserve">    Дошкольное образование</t>
  </si>
  <si>
    <t xml:space="preserve">        Подпрограмма "Дошкольное образование детей в муниципальных организациях городского округа Кинешма"</t>
  </si>
  <si>
    <t xml:space="preserve">    Общее образование</t>
  </si>
  <si>
    <t xml:space="preserve">        Подпрограмма "Общее образование в муниципальных организациях городского округа Кинешма"</t>
  </si>
  <si>
    <t xml:space="preserve">      Непрограммные направления деятельности бюджета городского округа Кинешма резервного фонда администрации городского округа Кинешма</t>
  </si>
  <si>
    <t xml:space="preserve">        Резервный фонд администрации городского округа Кинешма</t>
  </si>
  <si>
    <t xml:space="preserve">    Молодежная политика</t>
  </si>
  <si>
    <t xml:space="preserve">    Другие вопросы в области образования</t>
  </si>
  <si>
    <t xml:space="preserve">  СОЦИАЛЬНАЯ ПОЛИТИКА</t>
  </si>
  <si>
    <t xml:space="preserve">    Охрана семьи и детства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</si>
  <si>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</si>
  <si>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Муниципальная программа городского округа Кинешма "Управление муниципальными финансами и муниципальным долгом"</t>
  </si>
  <si>
    <t xml:space="preserve">    Резервные фонды</t>
  </si>
  <si>
    <t xml:space="preserve">  ОБСЛУЖИВАНИЕ ГОСУДАРСТВЕННОГО И МУНИЦИПАЛЬНОГО ДОЛГА</t>
  </si>
  <si>
    <t xml:space="preserve">    Обслуживание государственного внутреннего и муниципального долга</t>
  </si>
  <si>
    <t xml:space="preserve">      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</si>
  <si>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 xml:space="preserve">        Подпрограмма "Жилище"</t>
  </si>
  <si>
    <t xml:space="preserve">    Сельское хозяйство и рыболовство</t>
  </si>
  <si>
    <t xml:space="preserve">      Муниципальная программа городского округа Кинешма "Благоустройство городского округа Кинешма"</t>
  </si>
  <si>
    <t xml:space="preserve">        Подпрограмма "Благоустройство территории городского округа Кинешма"</t>
  </si>
  <si>
    <t xml:space="preserve">    Дорожное хозяйство (дорожные фонды)</t>
  </si>
  <si>
    <t xml:space="preserve">      Муниципальная программа городского округа Кинешма "Развитие транспортной системы в городском округе Кинешма"</t>
  </si>
  <si>
    <t xml:space="preserve">      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</si>
  <si>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</si>
  <si>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    Иные непрограммные направления</t>
  </si>
  <si>
    <t xml:space="preserve">  ЖИЛИЩНО-КОММУНАЛЬНОЕ ХОЗЯЙСТВО</t>
  </si>
  <si>
    <t xml:space="preserve">    Жилищное хозяйство</t>
  </si>
  <si>
    <t xml:space="preserve">    Благоустройство</t>
  </si>
  <si>
    <t xml:space="preserve">    Другие вопросы в области жилищно-коммунального хозяйства</t>
  </si>
  <si>
    <t xml:space="preserve">    Социальное обеспечение населения</t>
  </si>
  <si>
    <t xml:space="preserve">        Подпрограмма "Государственная и муниципальная поддержка граждан в сфере ипотечного жилищного кредитования"</t>
  </si>
  <si>
    <t xml:space="preserve">  ФИЗИЧЕСКАЯ КУЛЬТУРА И СПОРТ</t>
  </si>
  <si>
    <t xml:space="preserve">    Массовый спорт</t>
  </si>
  <si>
    <t xml:space="preserve">      Муниципальная программа городского округа Кинешма "Развитие физической культуры и спорта в городском округе Кинешма"</t>
  </si>
  <si>
    <t xml:space="preserve">    Другие вопросы в области физической культуры и спорта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</si>
  <si>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</si>
  <si>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</si>
  <si>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Подпрограмма "Развитие институтов гражданского общества"</t>
  </si>
  <si>
    <t xml:space="preserve">      Непрограммные направления деятельности бюджета городского округа Кинешма на исполнение судебных актов</t>
  </si>
  <si>
    <t xml:space="preserve">      Непрограммные направления деятельности бюджета городского округа Кинешма по прочим расходам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</si>
  <si>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</si>
  <si>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</si>
  <si>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 xml:space="preserve">        Подпрограмма "Предупреждение и ликвидация последствий чрезвычайных ситуаций в границах городского округа Кинешма"</t>
  </si>
  <si>
    <t xml:space="preserve">      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</si>
  <si>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    Подпрограмма "Развитие инженерных инфраструктур"</t>
  </si>
  <si>
    <t xml:space="preserve">    Пенсионное обеспечение</t>
  </si>
  <si>
    <t xml:space="preserve">  СРЕДСТВА МАССОВОЙ ИНФОРМАЦИИ</t>
  </si>
  <si>
    <t xml:space="preserve">    Телевидение и радиовещание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</si>
  <si>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</si>
  <si>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Непрограммные направления деятельности бюджета городского округа Кинешма городской Думы городского округа Кинешма</t>
  </si>
  <si>
    <t xml:space="preserve">        городская Дума городского округа Кинешма</t>
  </si>
  <si>
    <t xml:space="preserve">      Непрограммные направления деятельности бюджета городского округа Кинешма Контрольно-счетной комиссии городского округа Кинешма</t>
  </si>
  <si>
    <t xml:space="preserve">        Контрольно-счетной комиссии городского округа Кинешма</t>
  </si>
  <si>
    <t xml:space="preserve">      Муниципальная программа городского округа Кинешма "Управление муниципальным имуществом в городском округе Кинешма"</t>
  </si>
  <si>
    <t xml:space="preserve">      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</si>
  <si>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    Подпрограмма "Обеспечение приватизации и содержание имущества муниципальной казны"</t>
  </si>
  <si>
    <t xml:space="preserve">    Другие вопросы в области социальной политики</t>
  </si>
  <si>
    <t>Итого</t>
  </si>
  <si>
    <t xml:space="preserve">  Подпрограмма "Дошкольное образование детей в муниципальных организациях городского округа Кинешма"</t>
  </si>
  <si>
    <t xml:space="preserve">    Основное мероприятие "Дошкольное образование. Присмотр и уход за детьми"</t>
  </si>
  <si>
    <t xml:space="preserve">      Дошкольное образование</t>
  </si>
  <si>
    <t xml:space="preserve">        Организация дошкольного образования и обеспечение функционирования муниципальных организаций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</si>
  <si>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</si>
  <si>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</si>
  <si>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 xml:space="preserve">      Охрана семьи и детства</t>
  </si>
  <si>
    <t xml:space="preserve">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</si>
  <si>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      Закупка товаров, работ и услуг для обеспечения государственных (муниципальных) нужд</t>
  </si>
  <si>
    <t xml:space="preserve">          Социальное обеспечение и иные выплаты населению</t>
  </si>
  <si>
    <t xml:space="preserve">  Подпрограмма "Общее образование в муниципальных организациях городского округа Кинешма"</t>
  </si>
  <si>
    <t xml:space="preserve">    Основное мероприятие "Реализация программ начального общего, основного общего и среднего общего образования"</t>
  </si>
  <si>
    <t xml:space="preserve">      Общее образование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</si>
  <si>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</si>
  <si>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Организация общего образования и обеспечение функционирования муниципальных  общеобразовательных организаций</t>
  </si>
  <si>
    <t xml:space="preserve">          Иные бюджетные ассигнования</t>
  </si>
  <si>
    <t xml:space="preserve">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</t>
  </si>
  <si>
    <t xml:space="preserve">    Основное мероприятие "Финансовое обеспечение предоставления мер социальной поддержки в сфере общего образования"</t>
  </si>
  <si>
    <t xml:space="preserve">  Подпрограмма "Дополнительное образование в муниципальных организациях городского округа Кинешма"</t>
  </si>
  <si>
    <t xml:space="preserve">      Дополнительное образование детей</t>
  </si>
  <si>
    <t xml:space="preserve">        Организация дополнительного образования и обеспечение функционирования муниципальных организаций в сфере образования</t>
  </si>
  <si>
    <t xml:space="preserve">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</si>
  <si>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 xml:space="preserve">        Организация дополнительного образования и обеспечение функционирования муниципальных организаций в сфере культуры и искусства</t>
  </si>
  <si>
    <t xml:space="preserve">        Мероприятия в рамках подготовки и участия в Спартакиаде школьников</t>
  </si>
  <si>
    <t xml:space="preserve">    Основное мероприятие "Информационно-методическое и бухгалтерское сопровождение"</t>
  </si>
  <si>
    <t xml:space="preserve">      Другие вопросы в области образования</t>
  </si>
  <si>
    <t xml:space="preserve">        Обеспечение деятельности централизованных бухгалтерий по осуществлению бухгалтерского обслуживания</t>
  </si>
  <si>
    <t xml:space="preserve">        Обеспечение деятельности муниципального учреждения "Информационно-методический центр"</t>
  </si>
  <si>
    <t xml:space="preserve">  Подпрограмма "Наследие"</t>
  </si>
  <si>
    <t xml:space="preserve">    Основное мероприятие "Библиотечное обслуживание населения"</t>
  </si>
  <si>
    <t xml:space="preserve">      Культура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</si>
  <si>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</si>
  <si>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 xml:space="preserve">        Работы по формированию, учету, изучению, обеспечению физического сохранения и безопасности фондов библиотеки</t>
  </si>
  <si>
    <t xml:space="preserve">    Основное мероприятие "Формирование и содержание муниципального архива"</t>
  </si>
  <si>
    <t xml:space="preserve">      Другие общегосударственные вопросы</t>
  </si>
  <si>
    <t xml:space="preserve">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</si>
  <si>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 xml:space="preserve">    Основное мероприятие "Охрана, сохранение и популяризация культурного и исторического наследия городского округа Кинешма"</t>
  </si>
  <si>
    <t xml:space="preserve">        Сохранение, использование, популяризация и охрана объектов культурного наследия, находящихся в собственности городского округа Кинешма, охрана объектов культурного наследия местного (муниципального) значения, популяризация культурного и исторического наследия городского округа Кинешма</t>
  </si>
  <si>
    <t xml:space="preserve">  Подпрограмма "Культурно-досуговая деятельность"</t>
  </si>
  <si>
    <t xml:space="preserve">    Основное мероприятие "Организация культурного досуга и отдыха населения городского округа Кинешма"</t>
  </si>
  <si>
    <t xml:space="preserve">      Молодежная политика</t>
  </si>
  <si>
    <t xml:space="preserve">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</si>
  <si>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 xml:space="preserve">  Подпрограмма "Развитие туризма в городском округе Кинешма"</t>
  </si>
  <si>
    <t xml:space="preserve">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</si>
  <si>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  Другие вопросы в области национальной экономики</t>
  </si>
  <si>
    <t xml:space="preserve">        Содействие развитию внутреннего и въездного туризма в городском округе Кинешма</t>
  </si>
  <si>
    <t xml:space="preserve">      Массовый спорт</t>
  </si>
  <si>
    <t xml:space="preserve">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</si>
  <si>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 xml:space="preserve">        Реконструкция и ремонт спортивных площадок по месту жительства, подготовка, заливка и содержание катков в зимний период</t>
  </si>
  <si>
    <t xml:space="preserve">        Приобретение спортивного инвентаря и оборудования для лиц с ограниченными возможностями здоровья и инвалидов</t>
  </si>
  <si>
    <t xml:space="preserve">    Основное мероприятие "Предоставление мер поддержки молодым семьям"</t>
  </si>
  <si>
    <t xml:space="preserve">      Социальное обеспечение населения</t>
  </si>
  <si>
    <t xml:space="preserve">      Жилищное хозяйство</t>
  </si>
  <si>
    <t xml:space="preserve">      Другие вопросы в области социальной политики</t>
  </si>
  <si>
    <t xml:space="preserve">        Предоставление молодому специалисту единовременной денежной выплаты</t>
  </si>
  <si>
    <t xml:space="preserve">        Оплата найма жилых помещений, снимаемых молодыми специалистами</t>
  </si>
  <si>
    <t xml:space="preserve">    Основное мероприятие "Реализация мероприятий по содействию занятости населения"</t>
  </si>
  <si>
    <t xml:space="preserve">        Организация временного трудоустройства несовершеннолетних граждан в возрасте от 14 до 18 лет</t>
  </si>
  <si>
    <t xml:space="preserve">        Организация общественных работ на территории городского округа Кинешма</t>
  </si>
  <si>
    <t xml:space="preserve">  Подпрограмма "Дети города Кинешма"</t>
  </si>
  <si>
    <t xml:space="preserve">        Поддержка способных и талантливых детей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</si>
  <si>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</si>
  <si>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        Капитальные вложения в объекты государственной (муниципальной) собственности</t>
  </si>
  <si>
    <t xml:space="preserve">    Основное мероприятие "Предоставление мер поддержки отдельным категориям жителей"</t>
  </si>
  <si>
    <t xml:space="preserve">      Пенсионное обеспечение</t>
  </si>
  <si>
    <t xml:space="preserve">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</si>
  <si>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 xml:space="preserve">        Оказание материальной помощи гражданам, оказавшимся в трудной жизненной ситуации</t>
  </si>
  <si>
    <t xml:space="preserve">        Материальное обеспечение граждан, удостоенных звания "Почетный гражданин города Кинешма"</t>
  </si>
  <si>
    <t xml:space="preserve">      Другие вопросы в области жилищно-коммунального хозяйства</t>
  </si>
  <si>
    <t xml:space="preserve">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</si>
  <si>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 xml:space="preserve">    Основное мероприятие "Отдых и оздоровление детей"</t>
  </si>
  <si>
    <t xml:space="preserve">        Обеспечение оздоровления детей (транспортные расходы)</t>
  </si>
  <si>
    <t xml:space="preserve">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</si>
  <si>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 xml:space="preserve">  Подпрограмма "Жилище"</t>
  </si>
  <si>
    <t xml:space="preserve">        Услуги по технической инвентаризации зданий муниципального жилищного фонда городского округа Кинешма</t>
  </si>
  <si>
    <t xml:space="preserve">        Установка общедомовых приборов учета, благоустройтво придомовых территорий, газификация многоквартирных домов, капитальный ремонт многоквартирных домов в доле муниципального жилищного фонда</t>
  </si>
  <si>
    <t xml:space="preserve">        Оказание услуг по изготовлению технических заключений о состоянии строительных конструкций многоквартирных домов</t>
  </si>
  <si>
    <t xml:space="preserve">        Муниципальная поддержка капитального ремонта общего имущества в многоквартирных домах</t>
  </si>
  <si>
    <t xml:space="preserve">        Капитальный ремонт муниципального жилищного фонда</t>
  </si>
  <si>
    <t xml:space="preserve">        Оплата коммунальных услуг, содержание, текущий ремонт жилых помещений, относящихся к свободному жилищному фонду</t>
  </si>
  <si>
    <t xml:space="preserve">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</si>
  <si>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 xml:space="preserve">        Субсидии организациям, осуществляющим управление муниципальными общежитиями</t>
  </si>
  <si>
    <t xml:space="preserve">  Подпрограмма "Государственная и муниципальная поддержка граждан в сфере ипотечного жилищного кредитования"</t>
  </si>
  <si>
    <t xml:space="preserve">    Основное мероприятие "Улучшение жилищных условий граждан, проживающих на территории городского округа Кинешма"</t>
  </si>
  <si>
    <t xml:space="preserve">  Подпрограмма "Развитие инженерных инфраструктур"</t>
  </si>
  <si>
    <t xml:space="preserve">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</si>
  <si>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Дорожное хозяйство (дорожные фонды)</t>
  </si>
  <si>
    <t xml:space="preserve">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</si>
  <si>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 xml:space="preserve">        Обеспечение безопасности дорожного движения</t>
  </si>
  <si>
    <t xml:space="preserve">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</si>
  <si>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</si>
  <si>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Подпрограмма "Предупреждение и ликвидация последствий чрезвычайных ситуаций в границах городского округа Кинешма"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</si>
  <si>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</si>
  <si>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 xml:space="preserve">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</si>
  <si>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</si>
  <si>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 xml:space="preserve">      Телевидение и радиовещание</t>
  </si>
  <si>
    <t xml:space="preserve">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</si>
  <si>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</si>
  <si>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Подпрограмма "Обеспечение приватизации и содержание имущества муниципальной казны"</t>
  </si>
  <si>
    <t xml:space="preserve">    Основное мероприятие "Управление и распоряжение муниципальным имуществом городского округа Кинешма"</t>
  </si>
  <si>
    <t xml:space="preserve">        Обеспечение приватизации и проведение предпродажной подготовки объектов недвижимости</t>
  </si>
  <si>
    <t xml:space="preserve">        Содержание объектов недвижимости, входящих в состав имущества муниципальной казны</t>
  </si>
  <si>
    <t xml:space="preserve">      Благоустройство</t>
  </si>
  <si>
    <t xml:space="preserve">        Организация уличного освещения в границах городского округа Кинешма</t>
  </si>
  <si>
    <t xml:space="preserve">        Организация и содержание мест захоронений</t>
  </si>
  <si>
    <t xml:space="preserve">  Подпрограмма "Благоустройство территории городского округа Кинешма"</t>
  </si>
  <si>
    <t xml:space="preserve">    Основное мероприятие "Благоустройство территорий общего пользования"</t>
  </si>
  <si>
    <t xml:space="preserve">        Содержание, благоустройство мест массового отдыха населения городского округа Кинешма и других территорий общего пользования</t>
  </si>
  <si>
    <t xml:space="preserve">        Содержание и ремонт детских игровых площадок</t>
  </si>
  <si>
    <t xml:space="preserve">    Основное мероприятие "Регулирование численности безнадзорных животных на территории городского округа Кинешма"</t>
  </si>
  <si>
    <t xml:space="preserve">      Сельское хозяйство и рыболовство</t>
  </si>
  <si>
    <t xml:space="preserve">       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</t>
  </si>
  <si>
    <t xml:space="preserve">    Основное мероприятие "Текущее содержание гидротехнических сооружений"</t>
  </si>
  <si>
    <t xml:space="preserve">        Текущее содержание инженерной защиты (дамбы, дренажные системы, водоперекачивающие станции)</t>
  </si>
  <si>
    <t xml:space="preserve">        Приобретение автотранспортных средств и коммунальной техники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</si>
  <si>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</si>
  <si>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Обслуживание государственного внутреннего и муниципального долга</t>
  </si>
  <si>
    <t xml:space="preserve">          Обслуживание государственного (муниципального) долга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</si>
  <si>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</si>
  <si>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городского округа Кинешма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</si>
  <si>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</si>
  <si>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вопросы в области культуры, кинематографии</t>
  </si>
  <si>
    <t xml:space="preserve">      Другие вопросы в области физической культуры и спорта</t>
  </si>
  <si>
    <t xml:space="preserve">    Основное мероприятие "Создание условий для решения вопросов местного значения, иных отдельных государственных полномочий"</t>
  </si>
  <si>
    <t xml:space="preserve">        Осуществление отдельных государственных полномочий в сфере административных правонарушений</t>
  </si>
  <si>
    <t xml:space="preserve">        Осуществление полномочий по созданию и организации деятельности комиссий по делам несовершеннолетних и защите их прав</t>
  </si>
  <si>
    <t xml:space="preserve">  Подпрограмма "Развитие институтов гражданского общества"</t>
  </si>
  <si>
    <t xml:space="preserve">        Субсидирование социально ориентированных некоммерческих организаций</t>
  </si>
  <si>
    <t xml:space="preserve">        Оказание финансовой поддержки территориальным общественным самоуправлениям</t>
  </si>
  <si>
    <t xml:space="preserve">  городская Дума городского округа Кинешма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</si>
  <si>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</si>
  <si>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Обеспечение функционирования председателя городского округа Кинешма</t>
  </si>
  <si>
    <t xml:space="preserve">        Обеспечение функционирования аппарата городской Думы городского округа Кинешма</t>
  </si>
  <si>
    <t xml:space="preserve">        Обеспечение функционирования депутатов городской Думы городского округа Кинешма</t>
  </si>
  <si>
    <t xml:space="preserve">  Иные непрограммные направления</t>
  </si>
  <si>
    <t xml:space="preserve">        Выполнение других обязательств городского округа Кинешма</t>
  </si>
  <si>
    <t xml:space="preserve">  Контрольно-счетной комиссии городского округа Кинешма</t>
  </si>
  <si>
    <t xml:space="preserve">        Обеспечение функционирования Председателя Контрольно-счетной комиссии городского округа Кинешма</t>
  </si>
  <si>
    <t xml:space="preserve">        Обеспечение функционирования членов и аппарата Контрольно-счетной комиссии городского округа Кинешма</t>
  </si>
  <si>
    <t xml:space="preserve">  Резервный фонд администрации городского округа Кинешма</t>
  </si>
  <si>
    <t xml:space="preserve">      Резервные фонды</t>
  </si>
  <si>
    <t xml:space="preserve">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</si>
  <si>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</si>
  <si>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</si>
  <si>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1 17 05040 04 0004 180</t>
  </si>
  <si>
    <t>46201S0510</t>
  </si>
  <si>
    <t>1 12 01020 01 0000 120</t>
  </si>
  <si>
    <t>Плата  за   выбросы   загрязняющих   веществ   в   атмосферный воздух передвижными объектами</t>
  </si>
  <si>
    <t xml:space="preserve"> Налог на прибыль организаций, зачислявшийся до 1 января 2005 года в местные бюджеты, мобилизуемый на территориях городских округов</t>
  </si>
  <si>
    <t xml:space="preserve"> Налог на имущество предприятий</t>
  </si>
  <si>
    <t>Налог с продаж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</si>
  <si>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</si>
  <si>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1 09 01020 04 0000 110</t>
  </si>
  <si>
    <t>1 09 04010 02 2100 110</t>
  </si>
  <si>
    <t>1 09 06010 02 0000 110</t>
  </si>
  <si>
    <t>1 09 07032 04 1000 110</t>
  </si>
  <si>
    <t>1 09 00000 00 0000 000</t>
  </si>
  <si>
    <t xml:space="preserve">ЗАДОЛЖЕННОСТЬ И ПЕРЕРАСЧЕТЫ ПО ОТМЕНЕННЫМ НАЛОГАМ, СБОРАМ И ИНЫМ ОБЯЗАТЕЛЬНЫМ ПЛАТЕЖАМ </t>
  </si>
  <si>
    <t>1 09 01000 00 0000 110</t>
  </si>
  <si>
    <t>Налог на прибыль организаций, зачислявшийся до 1 января 2005 года в местные бюджеты</t>
  </si>
  <si>
    <t>1 09 04000 00 0000 110</t>
  </si>
  <si>
    <t>Налоги на имущество</t>
  </si>
  <si>
    <t>1 09 06000 02 0000 110</t>
  </si>
  <si>
    <t>Прочие налоги и сборы (по отмененным налогам и сборам субъектов Российской Федерации)</t>
  </si>
  <si>
    <t>1 09 07000 00 0000 110</t>
  </si>
  <si>
    <t>Прочие налоги и сборы (по отмененным местным налогам и сборам)</t>
  </si>
  <si>
    <t xml:space="preserve"> 1 17 05040 04 0005 180</t>
  </si>
  <si>
    <t>Плата за право заключения договора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</si>
  <si>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1 12 01010 01 6000 120</t>
  </si>
  <si>
    <t>1 12 01020 01 6000 120</t>
  </si>
  <si>
    <t>1 12 01030 01 6000 120</t>
  </si>
  <si>
    <t>1 12 01040 01 6000 120</t>
  </si>
  <si>
    <t>Налог на имущество предприятий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</si>
  <si>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</si>
  <si>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1 16 43000 01 6000 140</t>
  </si>
  <si>
    <t>Генеральная прокуратура Российской Федерации</t>
  </si>
  <si>
    <t>041</t>
  </si>
  <si>
    <t>Департамент природных ресурсов и экологии Ивановской области</t>
  </si>
  <si>
    <t>Денежные взыскания (штрафы) за нарушение законодательства об охране и использовании животного мира</t>
  </si>
  <si>
    <t>1 16 33040 04 6000 140</t>
  </si>
  <si>
    <t>1 16 25060 01 6000 140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</si>
  <si>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</si>
  <si>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</si>
  <si>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</si>
  <si>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</si>
  <si>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1 16 21040 04 0000 140</t>
  </si>
  <si>
    <t>Денежные взыскания (штрафы) и иные суммы, взыскиваемые с лиц, виновных в совершении преступлений, и в возмещение
ущерба имуществу, зачисляемые в бюджеты городских округов</t>
  </si>
  <si>
    <t>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</si>
  <si>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</si>
  <si>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1 16 35000 00 0000 140</t>
  </si>
  <si>
    <t>Суммы по искам о возмещении вреда, причиненного окружающей среде</t>
  </si>
  <si>
    <t>1 16 35020 04 6000 140</t>
  </si>
  <si>
    <t xml:space="preserve"> Суммы по искам о возмещении вреда, причиненного окружающей
 среде, подлежащие зачислению в бюджеты городских округов</t>
  </si>
  <si>
    <t>Дотации бюджетам городских округов на поддержку мер по обеспечению сбалансированности бюджетов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</si>
  <si>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</si>
  <si>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</si>
  <si>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</si>
  <si>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</si>
  <si>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земельного законодательства</t>
  </si>
  <si>
    <t>2 02 25555 04 0000 151</t>
  </si>
  <si>
    <t>Субсидии бюджетам городских округов на поддержку
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</si>
  <si>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</si>
  <si>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(тыс.рублей)</t>
  </si>
  <si>
    <t>Целевая статья</t>
  </si>
  <si>
    <t>Вид расходов</t>
  </si>
  <si>
    <t>Наименование показателя</t>
  </si>
  <si>
    <t>Денежные взыскания (штрафы) за нарушение бюджетного законодательства (в части бюджетов городских округов)</t>
  </si>
  <si>
    <t>1 16 18040 04 0000 140</t>
  </si>
  <si>
    <t>Субсидия бюджетам городских округов на поддержку отрасли культуры (субсидии бюджетам муниципальных образований на комплектование книжных фондов библиотек муниципальных образований)</t>
  </si>
  <si>
    <t>Денежные взыскания (штрафы) за нарушение бюджетного законодательства Российской Федерации</t>
  </si>
  <si>
    <t xml:space="preserve">          Основное мероприятие "Формирование и содержание муниципального архива"</t>
  </si>
  <si>
    <t xml:space="preserve">    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</si>
  <si>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</si>
  <si>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</si>
  <si>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        Содействие развитию внутреннего и въездного туризма в городском округе Кинешма</t>
  </si>
  <si>
    <t xml:space="preserve">              Закупка товаров, работ и услуг для обеспечения государственных (муниципальных) нужд</t>
  </si>
  <si>
    <t xml:space="preserve">            Организация дополнительного образования и обеспечение функционирования муниципальных организаций в сфере культуры и искусства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</si>
  <si>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</si>
  <si>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 xml:space="preserve">            Поддержка способных и талантливых детей</t>
  </si>
  <si>
    <t xml:space="preserve">          Основное мероприятие "Отдых и оздоровление детей"</t>
  </si>
  <si>
    <t xml:space="preserve">          Основное мероприятие "Библиотечное обслуживание населения"</t>
  </si>
  <si>
    <t xml:space="preserve">            Осуществление библиотечного, библиографического и информационного обслуживания пользователей библиотеки</t>
  </si>
  <si>
    <t xml:space="preserve">            Работы по формированию, учету, изучению, обеспечению физического сохранения и безопасности фондов библиотеки</t>
  </si>
  <si>
    <t xml:space="preserve">            Сохранение, использование, популяризация и охрана объектов культурного наследия, находящихся в собственности городского округа Кинешма, охрана объектов культурного наследия местного (муниципального) значения, популяризация культурного и исторического наследия городского округа Кинешма</t>
  </si>
  <si>
    <t xml:space="preserve">          Основное мероприятие "Организация культурного досуга и отдыха населения городского округа Кинешма"</t>
  </si>
  <si>
    <t xml:space="preserve">    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</si>
  <si>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 xml:space="preserve">              Социальное обеспечение и иные выплаты населению</t>
  </si>
  <si>
    <t xml:space="preserve">            Организация общественных работ на территории городского округа Кинешма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</si>
  <si>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</si>
  <si>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Иные бюджетные ассигнования</t>
  </si>
  <si>
    <t xml:space="preserve">          Основное мероприятие "Дошкольное образование. Присмотр и уход за детьми"</t>
  </si>
  <si>
    <t xml:space="preserve">            Организация дошкольного образования и обеспечение функционирования муниципальных организаций</t>
  </si>
  <si>
    <t xml:space="preserve">  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</si>
  <si>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 xml:space="preserve">          Основное мероприятие "Реализация программ начального общего, основного общего и среднего общего образования"</t>
  </si>
  <si>
    <t xml:space="preserve">            Организация общего образования и обеспечение функционирования муниципальных  общеобразовательных организаций</t>
  </si>
  <si>
    <t xml:space="preserve">    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</t>
  </si>
  <si>
    <t xml:space="preserve">            Резервный фонд администрации городского округа Кинешма</t>
  </si>
  <si>
    <t xml:space="preserve">            Организация дополнительного образования и обеспечение функционирования муниципальных организаций в сфере образования</t>
  </si>
  <si>
    <t xml:space="preserve">            Мероприятия в рамках подготовки и участия в Спартакиаде школьников</t>
  </si>
  <si>
    <t xml:space="preserve">            Организация временного трудоустройства несовершеннолетних граждан в возрасте от 14 до 18 лет</t>
  </si>
  <si>
    <t xml:space="preserve">    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</si>
  <si>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 xml:space="preserve">          Основное мероприятие "Информационно-методическое и бухгалтерское сопровождение"</t>
  </si>
  <si>
    <t xml:space="preserve">            Обеспечение деятельности централизованных бухгалтерий по осуществлению бухгалтерского обслуживания</t>
  </si>
  <si>
    <t xml:space="preserve">            Обеспечение деятельности муниципального учреждения "Информационно-методический центр"</t>
  </si>
  <si>
    <t xml:space="preserve">  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</si>
  <si>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          Обслуживание государственного (муниципального) долга</t>
  </si>
  <si>
    <t xml:space="preserve">            Услуги по технической инвентаризации зданий муниципального жилищного фонда городского округа Кинешма</t>
  </si>
  <si>
    <t xml:space="preserve">           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</t>
  </si>
  <si>
    <t xml:space="preserve">      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</si>
  <si>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 xml:space="preserve">    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</si>
  <si>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 xml:space="preserve">            Обеспечение безопасности дорожного движения</t>
  </si>
  <si>
    <t xml:space="preserve">            Установка общедомовых приборов учета, благоустройтво придомовых территорий, газификация многоквартирных домов, капитальный ремонт многоквартирных домов в доле муниципального жилищного фонда</t>
  </si>
  <si>
    <t xml:space="preserve">            Оказание услуг по изготовлению технических заключений о состоянии строительных конструкций многоквартирных домов</t>
  </si>
  <si>
    <t xml:space="preserve">            Муниципальная поддержка капитального ремонта общего имущества в многоквартирных домах</t>
  </si>
  <si>
    <t xml:space="preserve">            Капитальный ремонт муниципального жилищного фонда</t>
  </si>
  <si>
    <t xml:space="preserve">            Оплата коммунальных услуг, содержание, текущий ремонт жилых помещений, относящихся к свободному жилищному фонду</t>
  </si>
  <si>
    <t xml:space="preserve">    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</si>
  <si>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 xml:space="preserve">            Субсидии организациям, осуществляющим управление муниципальными общежитиями</t>
  </si>
  <si>
    <t xml:space="preserve">            Текущее содержание инженерной защиты (дамбы, дренажные системы, водоперекачивающие станции)</t>
  </si>
  <si>
    <t xml:space="preserve">            Организация уличного освещения в границах городского округа Кинешма</t>
  </si>
  <si>
    <t xml:space="preserve">            Организация и содержание мест захоронений</t>
  </si>
  <si>
    <t xml:space="preserve">          Основное мероприятие "Благоустройство территорий общего пользования"</t>
  </si>
  <si>
    <t xml:space="preserve">            Содержание, благоустройство мест массового отдыха населения городского округа Кинешма и других территорий общего пользования</t>
  </si>
  <si>
    <t xml:space="preserve">            Содержание и ремонт детских игровых площадок</t>
  </si>
  <si>
    <t xml:space="preserve">    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</si>
  <si>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 xml:space="preserve">            Приобретение автотранспортных средств и коммунальной техники</t>
  </si>
  <si>
    <t xml:space="preserve">  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</si>
  <si>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            Капитальные вложения в объекты государственной (муниципальной) собственности</t>
  </si>
  <si>
    <t xml:space="preserve">    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</si>
  <si>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 xml:space="preserve">    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</si>
  <si>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 xml:space="preserve">            Реконструкция и ремонт спортивных площадок по месту жительства, подготовка, заливка и содержание катков в зимний период</t>
  </si>
  <si>
    <t xml:space="preserve">            Приобретение спортивного инвентаря и оборудования для лиц с ограниченными возможностями здоровья и инвалидов</t>
  </si>
  <si>
    <t xml:space="preserve">            Обеспечение деятельности главы городского округа Кинешма</t>
  </si>
  <si>
    <t xml:space="preserve">            Осуществление отдельных государственных полномочий в сфере административных правонарушений</t>
  </si>
  <si>
    <t xml:space="preserve">            Осуществление полномочий по созданию и организации деятельности комиссий по делам несовершеннолетних и защите их прав</t>
  </si>
  <si>
    <t xml:space="preserve">            Оказание финансовой поддержки территориальным общественным самоуправлениям</t>
  </si>
  <si>
    <t xml:space="preserve">    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</si>
  <si>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 xml:space="preserve">            Материальное обеспечение граждан, удостоенных звания "Почетный гражданин города Кинешма"</t>
  </si>
  <si>
    <t xml:space="preserve">            Обеспечение функционирования председателя городского округа Кинешма</t>
  </si>
  <si>
    <t xml:space="preserve">            Обеспечение функционирования аппарата городской Думы городского округа Кинешма</t>
  </si>
  <si>
    <t xml:space="preserve">            Обеспечение функционирования депутатов городской Думы городского округа Кинешма</t>
  </si>
  <si>
    <t xml:space="preserve">            Выполнение других обязательств городского округа Кинешма</t>
  </si>
  <si>
    <t xml:space="preserve">            Обеспечение функционирования Председателя Контрольно-счетной комиссии городского округа Кинешма</t>
  </si>
  <si>
    <t xml:space="preserve">            Обеспечение функционирования членов и аппарата Контрольно-счетной комиссии городского округа Кинешма</t>
  </si>
  <si>
    <t xml:space="preserve">      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</si>
  <si>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          Обеспечение приватизации и проведение предпродажной подготовки объектов недвижимости</t>
  </si>
  <si>
    <t xml:space="preserve">            Содержание объектов недвижимости, входящих в состав имущества муниципальной казны</t>
  </si>
  <si>
    <t xml:space="preserve">            Обеспечение оздоровления детей (транспортные расходы)</t>
  </si>
  <si>
    <t xml:space="preserve">            Оказание материальной помощи гражданам, оказавшимся в трудной жизненной ситуации</t>
  </si>
  <si>
    <t xml:space="preserve">            Субсидирование социально ориентированных некоммерческих организаций</t>
  </si>
  <si>
    <t xml:space="preserve">            Предоставление молодому специалисту единовременной денежной выплаты</t>
  </si>
  <si>
    <t xml:space="preserve">            Оплата найма жилых помещений, снимаемых молодыми специалистами</t>
  </si>
  <si>
    <t xml:space="preserve"> 1 13 02994 04 0000 130</t>
  </si>
  <si>
    <t>Прочие доходы от компенсации затрат бюджетов городских округов</t>
  </si>
  <si>
    <t>1 13 02994 04 0000 130</t>
  </si>
  <si>
    <t>1 16 90040 04 0000 140</t>
  </si>
  <si>
    <t>Административный департамент Ивановской области</t>
  </si>
  <si>
    <t>042</t>
  </si>
  <si>
    <t>1 16 33040 04 0000 140</t>
  </si>
  <si>
    <t xml:space="preserve">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</si>
  <si>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</si>
  <si>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1 16 28000 01 6000 140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</si>
  <si>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</si>
  <si>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2020 год</t>
  </si>
  <si>
    <t>на 2020 год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</si>
  <si>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</si>
  <si>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>4170400000</t>
  </si>
  <si>
    <t xml:space="preserve">        Организация питания обучающихся 1-4 классов муниципальных общеобразовательных организаций из малоимущих семей</t>
  </si>
  <si>
    <t>4170411290</t>
  </si>
  <si>
    <t xml:space="preserve">        Монтаж и демонтаж праздничной иллюминации</t>
  </si>
  <si>
    <t xml:space="preserve">        Содержание источников нецентрализованного водоснабжения</t>
  </si>
  <si>
    <t>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</si>
  <si>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>7500000000</t>
  </si>
  <si>
    <t>7590000000</t>
  </si>
  <si>
    <t xml:space="preserve">      Судебная система</t>
  </si>
  <si>
    <t>7590051200</t>
  </si>
  <si>
    <t xml:space="preserve">            Организация питания обучающихся 1-4 классов муниципальных общеобразовательных организаций из малоимущих семей</t>
  </si>
  <si>
    <t xml:space="preserve">            Монтаж и демонтаж праздничной иллюминации</t>
  </si>
  <si>
    <t xml:space="preserve">            Содержание источников нецентрализованного водоснабжения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</si>
  <si>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</si>
  <si>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 xml:space="preserve">    Судебная система</t>
  </si>
  <si>
    <t xml:space="preserve">      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</si>
  <si>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>Раздел</t>
  </si>
  <si>
    <t>Подраздел</t>
  </si>
  <si>
    <t xml:space="preserve">        Содержание имущества учреждения в рамках муниципального задания</t>
  </si>
  <si>
    <t>4110100020</t>
  </si>
  <si>
    <t xml:space="preserve">        Присмотр и уход за детьми, в части питания детей образовательного учреждения</t>
  </si>
  <si>
    <t>4110100050</t>
  </si>
  <si>
    <t>4130100020</t>
  </si>
  <si>
    <t>4140100020</t>
  </si>
  <si>
    <t>4210100020</t>
  </si>
  <si>
    <t>4210200020</t>
  </si>
  <si>
    <t>4220100020</t>
  </si>
  <si>
    <t xml:space="preserve">  Подпрограмма "Развитие физической культуры и массового спорта"</t>
  </si>
  <si>
    <t>4610100020</t>
  </si>
  <si>
    <t xml:space="preserve">        Предоставление субсидии на оказание социально-значимых бытовых услуг</t>
  </si>
  <si>
    <t>5110100020</t>
  </si>
  <si>
    <t xml:space="preserve">            Содержание имущества учреждения в рамках муниципального задания</t>
  </si>
  <si>
    <t xml:space="preserve">            Присмотр и уход за детьми, в части питания детей образовательного учреждения</t>
  </si>
  <si>
    <t xml:space="preserve">        Подпрограмма "Развитие физической культуры и массового спорта"</t>
  </si>
  <si>
    <t xml:space="preserve">            Предоставление субсидии на оказание социально-значимых бытовых услуг</t>
  </si>
  <si>
    <t>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округов</t>
  </si>
  <si>
    <t>4320110960</t>
  </si>
  <si>
    <t xml:space="preserve">        Предоставление социальных выплат молодым семьям на приобретение (строительство) жилого помещения</t>
  </si>
  <si>
    <t>45201S3100</t>
  </si>
  <si>
    <t xml:space="preserve">        Исполнение судебного акта по делу № А17-403/2017 от 10.11.2017 о возмещении ущерба причиненного нарушением бюджетного законодательства Российской Федерации, в том числе государственной пошлины за рассмотрение иска (по объекту "Строительство детского сада на 220 мест по ул.Гагарина в г. Кинешма Ивановской области")</t>
  </si>
  <si>
    <t>7490060100</t>
  </si>
  <si>
    <t xml:space="preserve">            Исполнение судебного акта по делу № А17-403/2017 от 10.11.2017 о возмещении ущерба причиненного нарушением бюджетного законодательства Российской Федерации, в том числе государственной пошлины за рассмотрение иска (по объекту "Строительство детского сада на 220 мест по ул.Гагарина в г. Кинешма Ивановской области")</t>
  </si>
  <si>
    <t xml:space="preserve">            Предоставление социальных выплат молодым семьям на приобретение (строительство) жилого помещения</t>
  </si>
  <si>
    <t>Субсидии бюджетам городских округов на реализацию мероприятий по обеспечению жильем молодых семей</t>
  </si>
  <si>
    <t>Иные межбюджетные трансферты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</si>
  <si>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</si>
  <si>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</si>
  <si>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Осуществление исполнительно-распорядительными органами муниципальных образований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</si>
  <si>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</si>
  <si>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</si>
  <si>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Осуществление исполнительно-распорядительными органами муниципальных образований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</si>
  <si>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>1 14 01000 00 0000 410</t>
  </si>
  <si>
    <t>Доходы от продажи квартир</t>
  </si>
  <si>
    <t>1 14 01040 04 0000 410</t>
  </si>
  <si>
    <t>Доходы от продажи квартир, находящихся в собственности городских округов</t>
  </si>
  <si>
    <t xml:space="preserve"> 1 14 02000 00 0000 410</t>
  </si>
  <si>
    <t>2 02 20077 04 0000 151</t>
  </si>
  <si>
    <t>Субсидии бюджетам городских округов на софинансирование капитальных вложений в объекты муниципальной собственности</t>
  </si>
  <si>
    <t xml:space="preserve">        Организация целевой подготовки педагогов для работы в муниципальных образовательных организациях</t>
  </si>
  <si>
    <t xml:space="preserve">      Водное хозяйство</t>
  </si>
  <si>
    <t xml:space="preserve">            Организация целевой подготовки педагогов для работы в муниципальных образовательных организациях</t>
  </si>
  <si>
    <t xml:space="preserve">    Водное хозяйство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</si>
  <si>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</si>
  <si>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</si>
  <si>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1 16 23000 00 0000 140</t>
  </si>
  <si>
    <t>Доходы от возмещения ущерба при возникновении страховых случаев</t>
  </si>
  <si>
    <t>1 16 23041 04 0000 140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</si>
  <si>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</si>
  <si>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 xml:space="preserve">        Организация отдыха детей в каникулярное время в части организации двухразового питания в лагерях дневного пребывания</t>
  </si>
  <si>
    <t xml:space="preserve">        Обеспечение деятельности муниципальных учреждений строительства городского округа Кинешма</t>
  </si>
  <si>
    <t xml:space="preserve">            Организация отдыха детей в каникулярное время в части организации двухразового питания в лагерях дневного пребывания</t>
  </si>
  <si>
    <t xml:space="preserve">            Обеспечение деятельности муниципальных учреждений строительства городского округа Кинешма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</si>
  <si>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</si>
  <si>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</si>
  <si>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 xml:space="preserve"> 1 12 01041 01 0000 120</t>
  </si>
  <si>
    <t xml:space="preserve">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</si>
  <si>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 xml:space="preserve">    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</si>
  <si>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Бюджетные ассигнования 2019 год</t>
  </si>
  <si>
    <t>Бюджетные ассигнования 2020 год</t>
  </si>
  <si>
    <t xml:space="preserve">        Эффективное управление, распоряжение и сохранность имущества, входящего в состав имущества муниципальной казны</t>
  </si>
  <si>
    <t xml:space="preserve">            Эффективное управление, распоряжение и сохранность имущества, входящего в состав имущества муниципальной казны</t>
  </si>
  <si>
    <t>на 2021 год</t>
  </si>
  <si>
    <t>Показатели  доходов бюджета городского округа Кинешма 
по кодам бюджетной классификации доходов на 2019 год
 и плановый период 2020 и 2021 годов</t>
  </si>
  <si>
    <t>Перечень главных администраторов доходов бюджета городского округа Кинешма
 с указанием объема закрепленных за ними доходов  бюджета городского округа Кинешма
в разрезе кодов классификации доходов бюджета на 2019 год
 и плановый период 2020 и 2021 годов</t>
  </si>
  <si>
    <t>2021 год</t>
  </si>
  <si>
    <t>Межрегиональное Управление Федеральной службы по надзору в сфере природопользования (Росприроднадзора) по Владимирской и Ивановской области</t>
  </si>
  <si>
    <t xml:space="preserve"> 2 02 10000 00 0000 150</t>
  </si>
  <si>
    <t xml:space="preserve"> 2 02 15001 04 0000 150</t>
  </si>
  <si>
    <t>2 02 15002 04 0000 150</t>
  </si>
  <si>
    <t xml:space="preserve"> 2 02 20000 00 0000 150</t>
  </si>
  <si>
    <t>2 02 20077 04 0000 150</t>
  </si>
  <si>
    <t>2 02 25519 04 0000 150</t>
  </si>
  <si>
    <t xml:space="preserve"> 2 02 29999 04 0000 150</t>
  </si>
  <si>
    <t xml:space="preserve"> 2 02 30000 00 0000 150</t>
  </si>
  <si>
    <t xml:space="preserve"> 2 02 30024 04 0000 150</t>
  </si>
  <si>
    <t>2 02 35082 04 0000 150</t>
  </si>
  <si>
    <t>2 02 35120 04 0000 150</t>
  </si>
  <si>
    <t>2 02 39999 04 0000 150</t>
  </si>
  <si>
    <t>2 08 04000 04 0000 150</t>
  </si>
  <si>
    <t>2 19 60010 04 0000 150</t>
  </si>
  <si>
    <t>2 19 25555 04 0000 150</t>
  </si>
  <si>
    <t>1 11 09044 04 0000 120</t>
  </si>
  <si>
    <t xml:space="preserve">    Основное мероприятие "Реализация образовательных программ дополнительного образования детей и мероприятия по их реализации"</t>
  </si>
  <si>
    <t>4140100070</t>
  </si>
  <si>
    <t>4140100080</t>
  </si>
  <si>
    <t xml:space="preserve">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</si>
  <si>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</si>
  <si>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>41402S1420</t>
  </si>
  <si>
    <t>41402S1430</t>
  </si>
  <si>
    <t>41402S1440</t>
  </si>
  <si>
    <t xml:space="preserve">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</si>
  <si>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</si>
  <si>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>4160200000</t>
  </si>
  <si>
    <t xml:space="preserve">        Обеспечение деятельности отраслевых (функциональных) органов администрации городского округа Кинешма</t>
  </si>
  <si>
    <t>4160200360</t>
  </si>
  <si>
    <t xml:space="preserve">        Проведение диспансеризации работников органов местного самоуправления городского округа Кинешма, отраслевых (функциональных) органов администрации городского округа Кинешма</t>
  </si>
  <si>
    <t>4160200370</t>
  </si>
  <si>
    <t xml:space="preserve">  Подпрограмма "Поддержка развития образовательных организаций городского округа Кинешма"</t>
  </si>
  <si>
    <t xml:space="preserve">    Основное мероприятие "Содействие развитию образовательных организаций"</t>
  </si>
  <si>
    <t xml:space="preserve">        Обеспечение пожарной безопасности муниципальных образовательных организаций</t>
  </si>
  <si>
    <t xml:space="preserve">    Основное мероприятие "Развитие интеллектуального, творческого и физического потенциала обучающихся"</t>
  </si>
  <si>
    <t xml:space="preserve">        Поддержка кадетских классов в общеобразовательных организациях городского округа Кинешма</t>
  </si>
  <si>
    <t>4170340060</t>
  </si>
  <si>
    <t>4170310380</t>
  </si>
  <si>
    <t>4170340050</t>
  </si>
  <si>
    <t>4170480110</t>
  </si>
  <si>
    <t xml:space="preserve">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</si>
  <si>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>42101S0340</t>
  </si>
  <si>
    <t>42201S0340</t>
  </si>
  <si>
    <t xml:space="preserve">  Подпрограмма "Обеспечение деятельности отраслевых (функциональных) органов администрации городского округа Кинешма"</t>
  </si>
  <si>
    <t>4240000000</t>
  </si>
  <si>
    <t>4240100000</t>
  </si>
  <si>
    <t>4240100360</t>
  </si>
  <si>
    <t>4240100370</t>
  </si>
  <si>
    <t xml:space="preserve">    Основное мероприятие "Реализация "Всероссийского физкультурно-спортивного комплекса "Готов к труду и обороне" (ГТО)"</t>
  </si>
  <si>
    <t xml:space="preserve">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</si>
  <si>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4310300000</t>
  </si>
  <si>
    <t>4310310100</t>
  </si>
  <si>
    <t>4310310120</t>
  </si>
  <si>
    <t xml:space="preserve">  Подпрограмма "Развитие системы подготовки спортивного резерва"</t>
  </si>
  <si>
    <t xml:space="preserve">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</si>
  <si>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>4320100020</t>
  </si>
  <si>
    <t xml:space="preserve">        Спортивная подготовка по олимпийским и неолимпийским видам спорта</t>
  </si>
  <si>
    <t>4330000000</t>
  </si>
  <si>
    <t>4330100000</t>
  </si>
  <si>
    <t>4330100360</t>
  </si>
  <si>
    <t>4330100370</t>
  </si>
  <si>
    <t>Муниципальная программа городского округа Кинешма "Реализация социальной и молодежной политики в городском округе Кинешма</t>
  </si>
  <si>
    <t xml:space="preserve">  Подпрограмма "Социальная поддержка отдельных категорий граждан городского округа Кинешма"</t>
  </si>
  <si>
    <t xml:space="preserve">    Основное мероприятие "Предоставление мер поддержки отдельным категориям работников учреждений социальной сферы"</t>
  </si>
  <si>
    <t>44101S3110</t>
  </si>
  <si>
    <t>4410140020</t>
  </si>
  <si>
    <t>4410140030</t>
  </si>
  <si>
    <t>4410200000</t>
  </si>
  <si>
    <t>4410240110</t>
  </si>
  <si>
    <t xml:space="preserve">    Основное мероприятие "Предоставление мер социальной поддержки детям и семьям, имеющим детей"</t>
  </si>
  <si>
    <t xml:space="preserve">        Оказание адресной социальной помощи семьям, воспитывающих детей до 18 лет, находящихся в трудной жизненной ситуации</t>
  </si>
  <si>
    <t>4420110150</t>
  </si>
  <si>
    <t>4420200000</t>
  </si>
  <si>
    <t>4420200020</t>
  </si>
  <si>
    <t xml:space="preserve">        "Повышение качества отдыха и оздоровления детей на базе муниципального учреждения городского округа Кинешма "Детская база отдыха "Радуга""</t>
  </si>
  <si>
    <t>4420200330</t>
  </si>
  <si>
    <t>4420240070</t>
  </si>
  <si>
    <t>4420280200</t>
  </si>
  <si>
    <t>44202S0190</t>
  </si>
  <si>
    <t xml:space="preserve">  Подпрограмма "Молодежная политика городского округа Кинешма"</t>
  </si>
  <si>
    <t xml:space="preserve">    Основное мероприятие "Организация работы с молодежью"</t>
  </si>
  <si>
    <t>45101R0820</t>
  </si>
  <si>
    <t xml:space="preserve">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</si>
  <si>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 xml:space="preserve">    Основное мероприятие "Развитие и организация инженерных инфраструктур"</t>
  </si>
  <si>
    <t>4530100020</t>
  </si>
  <si>
    <t>4530100240</t>
  </si>
  <si>
    <t>4530111260</t>
  </si>
  <si>
    <t xml:space="preserve">  Подпрограмма "Обеспечение жильем молодых семей"</t>
  </si>
  <si>
    <t>4540000000</t>
  </si>
  <si>
    <t>4540100000</t>
  </si>
  <si>
    <t>45401L4970</t>
  </si>
  <si>
    <t>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</si>
  <si>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Основное мероприятие "Поддержка и развитие малого предпринимательства в городском округе Кинешма"</t>
  </si>
  <si>
    <t>4700100000</t>
  </si>
  <si>
    <t>4700120160</t>
  </si>
  <si>
    <t>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</si>
  <si>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</si>
  <si>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</si>
  <si>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Создание необходимых условий для улучшения состояния противопожарного водоснабжения на территории городского округа Кинешма</t>
  </si>
  <si>
    <t>4810110190</t>
  </si>
  <si>
    <t xml:space="preserve">        Охват системой видеонаблюдения всех основных транспортных развязок и мест скопления людей на территории городского округа Кинешма</t>
  </si>
  <si>
    <t>4820110200</t>
  </si>
  <si>
    <t>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 на 2019-2021 годы"</t>
  </si>
  <si>
    <t>4900200000</t>
  </si>
  <si>
    <t xml:space="preserve">        Оплата за услуги охраны объектов недвижимости, находящихся в муниципальной собственности, готовящихся к продаже, передаче в областную, федеральную собственность</t>
  </si>
  <si>
    <t>4900211440</t>
  </si>
  <si>
    <t>5010100360</t>
  </si>
  <si>
    <t>5010100370</t>
  </si>
  <si>
    <t>5110100260</t>
  </si>
  <si>
    <t>5110100270</t>
  </si>
  <si>
    <t>5110100580</t>
  </si>
  <si>
    <t xml:space="preserve">        Ремонт мемориалов воинских захоронений, памятных знаков и других малых архитектурных форм на территории городского округа Кинешма</t>
  </si>
  <si>
    <t>5110111250</t>
  </si>
  <si>
    <t xml:space="preserve">        Прочие работы по благоустройству</t>
  </si>
  <si>
    <t>5110160020</t>
  </si>
  <si>
    <t xml:space="preserve">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</si>
  <si>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>5110200000</t>
  </si>
  <si>
    <t>5110200020</t>
  </si>
  <si>
    <t>5110200300</t>
  </si>
  <si>
    <t>5110211080</t>
  </si>
  <si>
    <t xml:space="preserve">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</si>
  <si>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>5110300000</t>
  </si>
  <si>
    <t>5110310490</t>
  </si>
  <si>
    <t xml:space="preserve">  Подпрограмма "Текущее содержание инженерной защиты (дамбы, дренажные системы водоперекачивающие станции)"</t>
  </si>
  <si>
    <t>5120000000</t>
  </si>
  <si>
    <t>5120100000</t>
  </si>
  <si>
    <t>51201S0540</t>
  </si>
  <si>
    <t>Муниципальная программа городского округа Кинешма "Профилактика правонарушений в городском округе Кинешма на 2019-2021 годы"</t>
  </si>
  <si>
    <t xml:space="preserve">    Основное мероприятие "Оказание мер поддержки гражданам, участвующим в охране общественного порядка, создание условий для деятельности народной дружины"</t>
  </si>
  <si>
    <t>5200100000</t>
  </si>
  <si>
    <t xml:space="preserve">        Оказание мер поддержки гражданам, участвующим в охране общественного порядка, создание условий для деятельности народной дружины</t>
  </si>
  <si>
    <t>5200160080</t>
  </si>
  <si>
    <t xml:space="preserve">    Основное мероприятие "Оказание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обстановке"</t>
  </si>
  <si>
    <t>5200200000</t>
  </si>
  <si>
    <t xml:space="preserve">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</si>
  <si>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>5200220060</t>
  </si>
  <si>
    <t>5200300000</t>
  </si>
  <si>
    <t>5200310140</t>
  </si>
  <si>
    <t>5200400000</t>
  </si>
  <si>
    <t>5200480370</t>
  </si>
  <si>
    <t xml:space="preserve">    Основное мероприятие "Оказание поддержки некоммерческим организациям"</t>
  </si>
  <si>
    <t>5200500000</t>
  </si>
  <si>
    <t xml:space="preserve">        Предоставление помещений народной дружине, социально - ориентированным некоммерческим организациям</t>
  </si>
  <si>
    <t>5200520010</t>
  </si>
  <si>
    <t xml:space="preserve">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</si>
  <si>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>5310100360</t>
  </si>
  <si>
    <t>5310100370</t>
  </si>
  <si>
    <t>5310100020</t>
  </si>
  <si>
    <t xml:space="preserve">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</si>
  <si>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>5310100220</t>
  </si>
  <si>
    <t xml:space="preserve">  Подпрограмма "Повышение качества управления муниципальными финансами"</t>
  </si>
  <si>
    <t xml:space="preserve">    Основное мероприятие "Обеспечение сбалансированности и устойчивости бюджета городского округа Кинешма"</t>
  </si>
  <si>
    <t xml:space="preserve">        Управление муниципальным долгом городского округа Кинешма</t>
  </si>
  <si>
    <t xml:space="preserve">  Подпрограмма "Обеспечение деятельности органов местного самоуправления городского округа Кинешма"</t>
  </si>
  <si>
    <t xml:space="preserve">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</si>
  <si>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>5410300000</t>
  </si>
  <si>
    <t>5410300420</t>
  </si>
  <si>
    <t xml:space="preserve">    Основное мероприятие "Информационное сопровождение органов местного самоуправления городского округа Кинешма"</t>
  </si>
  <si>
    <t>5410400000</t>
  </si>
  <si>
    <t>5410400020</t>
  </si>
  <si>
    <t xml:space="preserve">        Обеспечение деятельности муниципального учреждения "Редакция-Радио Кинешма"</t>
  </si>
  <si>
    <t>5410400210</t>
  </si>
  <si>
    <t xml:space="preserve">    Основное мероприятие "Улучшение условий и охраны труда в администрации городского округа Кинешма"</t>
  </si>
  <si>
    <t>5410500000</t>
  </si>
  <si>
    <t>5410500370</t>
  </si>
  <si>
    <t>5420160070</t>
  </si>
  <si>
    <t>5420120010</t>
  </si>
  <si>
    <t>7010000370</t>
  </si>
  <si>
    <t>7110000370</t>
  </si>
  <si>
    <t>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</si>
  <si>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>7600000000</t>
  </si>
  <si>
    <t>7690000000</t>
  </si>
  <si>
    <t>7690040120</t>
  </si>
  <si>
    <t>7690040130</t>
  </si>
  <si>
    <t xml:space="preserve">          Основное мероприятие "Реализация образовательных программ дополнительного образования детей и мероприятия по их реализации"</t>
  </si>
  <si>
    <t xml:space="preserve">        Подпрограмма "Поддержка развития образовательных организаций городского округа Кинешма"</t>
  </si>
  <si>
    <t xml:space="preserve">    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</si>
  <si>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 xml:space="preserve">        Подпрограмма "Обеспечение деятельности отраслевых (функциональных) органов администрации городского округа Кинешма"</t>
  </si>
  <si>
    <t xml:space="preserve">      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</si>
  <si>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 xml:space="preserve">            Обеспечение деятельности отраслевых (функциональных) органов администрации городского округа Кинешма</t>
  </si>
  <si>
    <t xml:space="preserve">            Проведение диспансеризации работников органов местного самоуправления городского округа Кинешма, отраслевых (функциональных) органов администрации городского округа Кинешма</t>
  </si>
  <si>
    <t xml:space="preserve">            Обеспечение пожарной безопасности муниципальных образовательных организаций</t>
  </si>
  <si>
    <t xml:space="preserve">            Поддержка кадетских классов в общеобразовательных организациях городского округа Кинешма</t>
  </si>
  <si>
    <t xml:space="preserve">    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</si>
  <si>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 xml:space="preserve">      Муниципальная программа городского округа Кинешма "Реализация социальной и молодежной политики в городском округе Кинешма</t>
  </si>
  <si>
    <t xml:space="preserve">      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</si>
  <si>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    Подпрограмма "Социальная поддержка отдельных категорий граждан городского округа Кинешма"</t>
  </si>
  <si>
    <t xml:space="preserve">      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</si>
  <si>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 xml:space="preserve">    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</si>
  <si>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Подпрограмма "Обеспечение деятельности органов местного самоуправления городского округа Кинешма"</t>
  </si>
  <si>
    <t xml:space="preserve">      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</si>
  <si>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 xml:space="preserve">      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</si>
  <si>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  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</si>
  <si>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</si>
  <si>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    Создание необходимых условий для улучшения состояния противопожарного водоснабжения на территории городского округа Кинешма</t>
  </si>
  <si>
    <t xml:space="preserve">            Охват системой видеонаблюдения всех основных транспортных развязок и мест скопления людей на территории городского округа Кинешма</t>
  </si>
  <si>
    <t xml:space="preserve">      Муниципальная программа городского округа Кинешма "Профилактика правонарушений в городском округе Кинешма на 2019-2021 годы"</t>
  </si>
  <si>
    <t xml:space="preserve">        Подпрограмма "Текущее содержание инженерной защиты (дамбы, дренажные системы водоперекачивающие станции)"</t>
  </si>
  <si>
    <t xml:space="preserve">          Основное мероприятие "Развитие и организация инженерных инфраструктур"</t>
  </si>
  <si>
    <t xml:space="preserve">            Ремонт мемориалов воинских захоронений, памятных знаков и других малых архитектурных форм на территории городского округа Кинешма</t>
  </si>
  <si>
    <t xml:space="preserve">            Прочие работы по благоустройству</t>
  </si>
  <si>
    <t xml:space="preserve">      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</si>
  <si>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 xml:space="preserve">        Подпрограмма "Развитие системы подготовки спортивного резерва"</t>
  </si>
  <si>
    <t xml:space="preserve">      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</si>
  <si>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 xml:space="preserve">            Спортивная подготовка по олимпийским и неолимпийским видам спорта</t>
  </si>
  <si>
    <t xml:space="preserve">          Основное мероприятие "Улучшение условий и охраны труда в администрации городского округа Кинешма"</t>
  </si>
  <si>
    <t xml:space="preserve">            Оказание мер поддержки гражданам, участвующим в охране общественного порядка, создание условий для деятельности народной дружины</t>
  </si>
  <si>
    <t xml:space="preserve">            Предоставление помещений народной дружине, социально - ориентированным некоммерческим организациям</t>
  </si>
  <si>
    <t xml:space="preserve">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</si>
  <si>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    "Повышение качества отдыха и оздоровления детей на базе муниципального учреждения городского округа Кинешма "Детская база отдыха "Радуга""</t>
  </si>
  <si>
    <t xml:space="preserve">        Подпрограмма "Молодежная политика городского округа Кинешма"</t>
  </si>
  <si>
    <t xml:space="preserve">      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</si>
  <si>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 xml:space="preserve">    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</si>
  <si>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 xml:space="preserve">        Подпрограмма "Обеспечение жильем молодых семей"</t>
  </si>
  <si>
    <t xml:space="preserve">            Оказание адресной социальной помощи семьям, воспитывающих детей до 18 лет, находящихся в трудной жизненной ситуации</t>
  </si>
  <si>
    <t xml:space="preserve">    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</si>
  <si>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      Основное мероприятие "Информационное сопровождение органов местного самоуправления городского округа Кинешма"</t>
  </si>
  <si>
    <t xml:space="preserve">            Обеспечение деятельности муниципального учреждения "Редакция-Радио Кинешма"</t>
  </si>
  <si>
    <t xml:space="preserve">        Подпрограмма "Повышение качества управления муниципальными финансами"</t>
  </si>
  <si>
    <t xml:space="preserve">            Управление муниципальным долгом городского округа Кинешма</t>
  </si>
  <si>
    <t xml:space="preserve">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 на 2019-2021 годы"</t>
  </si>
  <si>
    <t xml:space="preserve">            Оплата за услуги охраны объектов недвижимости, находящихся в муниципальной собственности, готовящихся к продаже, передаче в областную, федеральную собственность</t>
  </si>
  <si>
    <t>Распределение бюджетных ассигнований по разделам, подразделам и целевым статьям муниципальных программ и  непрограммным направлениям деятельности, группам видов расходов классификации расходов бюджета городского округа Кинешма на 2019 год и плановый период 2020 и 2021 годов</t>
  </si>
  <si>
    <t>Бюджетные ассигнования 2021 год</t>
  </si>
  <si>
    <t>Распределение бюджетных ассигнований по разделам, подразделам, целевым статьям и видам расходов классификации расходов бюджета в ведомственной структуре расходов бюджета городского округа Кинешма на 2019 год и плановый период 2020 и 2021 годов</t>
  </si>
  <si>
    <t xml:space="preserve">    Основное мероприятие "Модернизация и развитие инфраструктуры системы образования"</t>
  </si>
  <si>
    <t>4170100000</t>
  </si>
  <si>
    <t xml:space="preserve">        Строительство детского сада на 220 мест по ул. Гагарина в г. Кинешма Ивановской области</t>
  </si>
  <si>
    <t>4170111320</t>
  </si>
  <si>
    <t xml:space="preserve">        Мероприятия в рамках подготовки и участия во Всероссийской олимпиаде школьников</t>
  </si>
  <si>
    <t>4170310600</t>
  </si>
  <si>
    <t xml:space="preserve">      Коммунальное хозяйство</t>
  </si>
  <si>
    <t xml:space="preserve">        Наказы избирателей депутатам городской Думы городского округа Кинешма</t>
  </si>
  <si>
    <t>4530110010</t>
  </si>
  <si>
    <t>4610110010</t>
  </si>
  <si>
    <t>4620110010</t>
  </si>
  <si>
    <t xml:space="preserve">        "Наказы избирателей депутатам городской Думы городского округа Кинешма"</t>
  </si>
  <si>
    <t>5110110010</t>
  </si>
  <si>
    <t xml:space="preserve">        Прочие расходы на выполнение капитального и текущего ремонта муниципальных объектов городского округа Кинешма</t>
  </si>
  <si>
    <t>5410311400</t>
  </si>
  <si>
    <t>Муниципальная программа "Формирование современной городской среды на территории муниципального образования "Городской округ Кинешма" на 2019-2022 годы"</t>
  </si>
  <si>
    <t>5600000000</t>
  </si>
  <si>
    <t xml:space="preserve">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</si>
  <si>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7490060050</t>
  </si>
  <si>
    <t xml:space="preserve">        Укрепление материально-технической базы муниципальных учреждений городского округа Кинешма</t>
  </si>
  <si>
    <t xml:space="preserve">        Погашение кредиторской задолженности прошлых лет</t>
  </si>
  <si>
    <t>8090010950</t>
  </si>
  <si>
    <t xml:space="preserve">            Мероприятия в рамках подготовки и участия во Всероссийской олимпиаде школьников</t>
  </si>
  <si>
    <t xml:space="preserve">            Прочие расходы на выполнение капитального и текущего ремонта муниципальных объектов городского округа Кинешма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</si>
  <si>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</si>
  <si>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            Укрепление материально-технической базы муниципальных учреждений городского округа Кинешма</t>
  </si>
  <si>
    <t xml:space="preserve">            Погашение кредиторской задолженности прошлых лет</t>
  </si>
  <si>
    <t xml:space="preserve">            Наказы избирателей депутатам городской Думы городского округа Кинешма</t>
  </si>
  <si>
    <t xml:space="preserve">    Коммунальное хозяйство</t>
  </si>
  <si>
    <t xml:space="preserve">            "Наказы избирателей депутатам городской Думы городского округа Кинешма"</t>
  </si>
  <si>
    <t xml:space="preserve">      Муниципальная программа "Формирование современной городской среды на территории муниципального образования "Городской округ Кинешма" на 2019-2022 годы"</t>
  </si>
  <si>
    <t xml:space="preserve">            Строительство детского сада на 220 мест по ул. Гагарина в г. Кинешма Ивановской области</t>
  </si>
  <si>
    <t xml:space="preserve">        Организация и проведение спортивных мероприятий в рамках муниципального задания</t>
  </si>
  <si>
    <t>4140100620</t>
  </si>
  <si>
    <t xml:space="preserve">        Организация проведения массовых мероприятий</t>
  </si>
  <si>
    <t>4220100500</t>
  </si>
  <si>
    <t xml:space="preserve">    Основное мероприятие "Физическое воспитание и обеспечение организации и проведения физкультурных и спортивных мероприятий"</t>
  </si>
  <si>
    <t>4310200000</t>
  </si>
  <si>
    <t xml:space="preserve">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</si>
  <si>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>4310200150</t>
  </si>
  <si>
    <t>4320100620</t>
  </si>
  <si>
    <t xml:space="preserve">        Организация молодежных мероприятий</t>
  </si>
  <si>
    <t>4430110260</t>
  </si>
  <si>
    <t xml:space="preserve">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</si>
  <si>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>4510120150</t>
  </si>
  <si>
    <t xml:space="preserve">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</si>
  <si>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          Организация проведения массовых мероприятий</t>
  </si>
  <si>
    <t xml:space="preserve">            Организация и проведение спортивных мероприятий в рамках муниципального задания</t>
  </si>
  <si>
    <t xml:space="preserve">          Основное мероприятие "Физическое воспитание и обеспечение организации и проведения физкультурных и спортивных мероприятий"</t>
  </si>
  <si>
    <t xml:space="preserve">    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</si>
  <si>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 xml:space="preserve">    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</si>
  <si>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 xml:space="preserve">            Организация молодежных мероприятий</t>
  </si>
  <si>
    <t xml:space="preserve">        Комплектование книжных фондов библиотек городского округа Кинешма</t>
  </si>
  <si>
    <t>42101L5191</t>
  </si>
  <si>
    <t xml:space="preserve">        Выплата стипендии гражданам в соответствии с договором о целевом обучении</t>
  </si>
  <si>
    <t>4410140250</t>
  </si>
  <si>
    <t xml:space="preserve">        Субсидия на капитальный ремонт многоквартирных домов</t>
  </si>
  <si>
    <t>4510120220</t>
  </si>
  <si>
    <t xml:space="preserve">        Разработка схемы теплоснабжения городского округа Кинешма</t>
  </si>
  <si>
    <t>4530111450</t>
  </si>
  <si>
    <t>Муниципальная программа городского округа Кинешма "Охрана окружающей среды"</t>
  </si>
  <si>
    <t>5500000000</t>
  </si>
  <si>
    <t xml:space="preserve">    Основное мероприятие "Осуществление управления в области организации и функционирования особо охраняемых природных территорий местного значения"</t>
  </si>
  <si>
    <t>5500400000</t>
  </si>
  <si>
    <t xml:space="preserve">      Другие вопросы в области охраны окружающей среды</t>
  </si>
  <si>
    <t xml:space="preserve">        Проведение комплексных работ экологических обследований особо охраняемых природных территорий</t>
  </si>
  <si>
    <t>5500400610</t>
  </si>
  <si>
    <t xml:space="preserve">        Выполнение работ по внесению изменений в Генеральный план и Правила землепользования и застройки муниципального образования "Городской округ Кинешма" и изготовление актуальной редакции Генерального плана и Правил землепользования и застройки муниципального образования"Городской округ Кинешма"</t>
  </si>
  <si>
    <t>8090011100</t>
  </si>
  <si>
    <t xml:space="preserve">        Погашение кредиторской задолженности прошлых лет по обеспечению деятельности органов местного самоуправления городского округа Кинешма, отраслевых (функциональных) органов администрации городского округа Кинешма</t>
  </si>
  <si>
    <t>8090000600</t>
  </si>
  <si>
    <t xml:space="preserve">            Комплектование книжных фондов библиотек городского округа Кинешма</t>
  </si>
  <si>
    <t xml:space="preserve">            Погашение кредиторской задолженности прошлых лет по обеспечению деятельности органов местного самоуправления городского округа Кинешма, отраслевых (функциональных) органов администрации городского округа Кинешма</t>
  </si>
  <si>
    <t xml:space="preserve">            Выполнение работ по внесению изменений в Генеральный план и Правила землепользования и застройки муниципального образования "Городской округ Кинешма" и изготовление актуальной редакции Генерального плана и Правил землепользования и застройки муниципального образования"Городской округ Кинешма"</t>
  </si>
  <si>
    <t xml:space="preserve">            Субсидия на капитальный ремонт многоквартирных домов</t>
  </si>
  <si>
    <t xml:space="preserve">            Разработка схемы теплоснабжения городского округа Кинешма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</si>
  <si>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</si>
  <si>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</si>
  <si>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 Муниципальная программа городского округа Кинешма "Охрана окружающей среды"</t>
  </si>
  <si>
    <t xml:space="preserve">          Основное мероприятие "Осуществление управления в области организации и функционирования особо охраняемых природных территорий местного значения"</t>
  </si>
  <si>
    <t xml:space="preserve">            Проведение комплексных работ экологических обследований особо охраняемых природных территорий</t>
  </si>
  <si>
    <t xml:space="preserve">            Выплата стипендии гражданам в соответствии с договором о целевом обучении</t>
  </si>
  <si>
    <t xml:space="preserve">Приложение 1
к решению городской Думы 
городского округа Кинешма  
 "О бюджете городского округа Кинешма на 2019 год
 и плановый период 2020 и 2021 годов" 
от 19.12.2018 № 69/453  
</t>
  </si>
  <si>
    <t xml:space="preserve">Приложение 2
к решению городской Думы 
городского округа Кинешма  
 "О бюджете городского округа Кинешма на 2019 год
 и плановый период 2020 и 2021 годов" 
от 19.12.2018 № 69/453  
</t>
  </si>
  <si>
    <t xml:space="preserve">Приложение 4
к решению городской Думы 
городского округа Кинешма  
 "О бюджете городского округа Кинешма на 2019 год
 и плановый период 2020 и 2021 годов" 
от 19.12.2018 № 69/453  </t>
  </si>
  <si>
    <t xml:space="preserve">Приложение 5
к решению городской Думы 
городского округа Кинешма  
 "О бюджете городского округа Кинешма на 2019 год
 и плановый период 2020 и 2021 годов" 
от 19.12.2018 № 69/453  </t>
  </si>
  <si>
    <t>КВСР</t>
  </si>
  <si>
    <t>Рз</t>
  </si>
  <si>
    <t>ПР</t>
  </si>
  <si>
    <t>ЦСР</t>
  </si>
  <si>
    <t>Вр</t>
  </si>
  <si>
    <t xml:space="preserve">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</si>
  <si>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</si>
  <si>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</si>
  <si>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</si>
  <si>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</si>
  <si>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</si>
  <si>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</si>
  <si>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</si>
  <si>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</si>
  <si>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1 03 02241 01 0000 110</t>
  </si>
  <si>
    <t>4170210030</t>
  </si>
  <si>
    <t>4220110030</t>
  </si>
  <si>
    <t>4310310030</t>
  </si>
  <si>
    <t>4420210030</t>
  </si>
  <si>
    <t>Наказы избирателей депутатам Ивановской областной Думы за счет средств областного бюджета</t>
  </si>
  <si>
    <t>7900000000</t>
  </si>
  <si>
    <t>7990000000</t>
  </si>
  <si>
    <t xml:space="preserve">        Укрепление материально-технической базы муниципальных образовательных организаций</t>
  </si>
  <si>
    <t>79900S1950</t>
  </si>
  <si>
    <t xml:space="preserve">        Оформление участков сетей теплоснабжения для передачи их теплоснабжающим организациям</t>
  </si>
  <si>
    <t>8090011460</t>
  </si>
  <si>
    <t xml:space="preserve">            Оформление участков сетей теплоснабжения для передачи их теплоснабжающим организациям</t>
  </si>
  <si>
    <t xml:space="preserve">      Наказы избирателей депутатам Ивановской областной Думы за счет средств областного бюджета</t>
  </si>
  <si>
    <t xml:space="preserve">            Укрепление материально-технической базы муниципальных образовательных организаций</t>
  </si>
  <si>
    <t xml:space="preserve">Приложение 3
к решению городской Думы 
городского округа Кинешма  
 "О бюджете городского округа Кинешма на 2019 год
 и плановый период 2020 и 2021 годов" 
от 19.12.2018 № 69/453  </t>
  </si>
  <si>
    <t>Перечень  главных администраторов источников финансирования  дефицита бюджета городского округа Кинешма с указанием объемов администрируемых  источников финансирования дефицита бюджета городского округа Кинешма по кодам классификации источников финансирования дефицита бюджета на 2019 год и плановый период 2020 и 2021 годов</t>
  </si>
  <si>
    <t>Код бюджетной классификации
Российской Федерации</t>
  </si>
  <si>
    <t xml:space="preserve">Наименование администратора </t>
  </si>
  <si>
    <t>главного
 администратора 
источников
финансирования
дефицита</t>
  </si>
  <si>
    <t>источников финансирования дефицита бюджета городского округа</t>
  </si>
  <si>
    <t>Финансовое управление  администрации
 городского округа Кинешма</t>
  </si>
  <si>
    <t>01 02 00 00 04 0000 710</t>
  </si>
  <si>
    <t>Получение кредитов от кредитных организаций бюджетами городских округов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</si>
  <si>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</si>
  <si>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</si>
  <si>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01 05 00 00 00 0000 000</t>
  </si>
  <si>
    <t>Изменение остатков средств на счетах  по учету средств бюджета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</si>
  <si>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</si>
  <si>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</si>
  <si>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</si>
  <si>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</si>
  <si>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</si>
  <si>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Федерации, в том числе:</t>
  </si>
  <si>
    <t>бюджетные кредиты на пополнение остатков средств на счете бюджета городского округа Кинешма</t>
  </si>
  <si>
    <t xml:space="preserve">бюджетные кредиты в целях покрытия временных кассовых разрывов, возникающих при исполнении бюджета городског округа Кинешма </t>
  </si>
  <si>
    <t>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</si>
  <si>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Федерации, в том числе: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</si>
  <si>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</si>
  <si>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</si>
  <si>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000 01 00 00 00 00 0000 000</t>
  </si>
  <si>
    <t>Итого источников 
финансирования дефицита бюджета</t>
  </si>
  <si>
    <t xml:space="preserve">Приложение 6
к решению городской Думы 
городского округа Кинешма  
 "О бюджете городского округа Кинешма на 2019 год
 и плановый период 2020 и 2021 годов" 
от 19.12.2018 № 69/453  
</t>
  </si>
  <si>
    <t>Источники финансирования дефицита   бюджета городского округа Кинешма на 2019 год
 и плановый период 2020 и 2021 годов</t>
  </si>
  <si>
    <t>Код 
классификации</t>
  </si>
  <si>
    <t>954 01 02 00 00 00 0000 000</t>
  </si>
  <si>
    <t>Кредиты кредитных организаций в валюте Российской Федерации</t>
  </si>
  <si>
    <t>954 01 02 00 00 00 0000 700</t>
  </si>
  <si>
    <t>Получение кредитов от кредитных организаций в валюте Российской Федерации</t>
  </si>
  <si>
    <t>954 01 02 00 00 04 0000 710</t>
  </si>
  <si>
    <t>Получение  кредитов от кредитных организаций бюджетами городских округов в валюте Российской Федерации</t>
  </si>
  <si>
    <t>954 01 02 00 00 00 0000 810</t>
  </si>
  <si>
    <t>Погашение кредитов, полученных в валюте Российской Федерации от кредитных организаций</t>
  </si>
  <si>
    <t>954 01 02 00 00 04 0000 810</t>
  </si>
  <si>
    <t>954 01 05 00 00 00 0000 000</t>
  </si>
  <si>
    <t>Изменение остатков средств на счетах по учету средств бюджета</t>
  </si>
  <si>
    <t>954 01 05 00 00 00 0000 500</t>
  </si>
  <si>
    <t>Увеличение остатков средств бюджетов</t>
  </si>
  <si>
    <t>954 01 05 02 00 00 0000 500</t>
  </si>
  <si>
    <t>Увеличение прочих остатков средств бюджетов</t>
  </si>
  <si>
    <t>954 01 05 02 01 00 0000 510</t>
  </si>
  <si>
    <t>Увеличение прочих остатков денежных средств бюджетов</t>
  </si>
  <si>
    <t>954 01 05 02 01 04 0000  510</t>
  </si>
  <si>
    <t>954 01 05 00 00 00 0000 600</t>
  </si>
  <si>
    <t>Уменьшение остатков средств бюджетов</t>
  </si>
  <si>
    <t>954 01 05 02 00 00 0000 600</t>
  </si>
  <si>
    <t>Уменьшение прочих остатков средств бюджетов</t>
  </si>
  <si>
    <t>954 01 05 02 01 00 0000 610</t>
  </si>
  <si>
    <t>Уменьшение прочих остатков денежных средств бюджетов</t>
  </si>
  <si>
    <t>954 01 05 02 01 04 0000 610</t>
  </si>
  <si>
    <t>961 01 02 00 00 00 0000 000</t>
  </si>
  <si>
    <t>961 01 02 00 00 00 0000 700</t>
  </si>
  <si>
    <t>961 01 02 00 00 04 0000 710</t>
  </si>
  <si>
    <t>961 01 02 00 00 00 0000 810</t>
  </si>
  <si>
    <t>961 01 02 00 00 04 0000 810</t>
  </si>
  <si>
    <t>961 01 03 00 00 00 0000 000</t>
  </si>
  <si>
    <t xml:space="preserve">Бюджетные кредиты от других бюджетов бюджетной системы Российской Федерации
</t>
  </si>
  <si>
    <t>961 01 03 01 00 00 0000 700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</si>
  <si>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</si>
  <si>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961 01 03 01 00 04 0000 710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</si>
  <si>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Федерации: бюджетные кредиты на пополнение остатков средств на счете бюджета городского округа Кинешма</t>
  </si>
  <si>
    <t xml:space="preserve">бюджетных кредитов в целях покрытия временных кассовых разрывов, возникающих при исполнении бюджета городског округа Кинешма </t>
  </si>
  <si>
    <t>961 01 03 01 00 00 0000 800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</si>
  <si>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</si>
  <si>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961 01 03 01 00 04 0000 810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</si>
  <si>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Федерации: бюджетные кредиты на пополнение остатков средств на счете бюджета городского округа Кинешма</t>
  </si>
  <si>
    <t>Итого источников финансирования дефицита бюджета</t>
  </si>
  <si>
    <t xml:space="preserve">        Укрепление материально-технической базы муниципальных учреждений культуры</t>
  </si>
  <si>
    <t>79900S1980</t>
  </si>
  <si>
    <t xml:space="preserve">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</si>
  <si>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79900S3140</t>
  </si>
  <si>
    <t xml:space="preserve">            Укрепление материально-технической базы муниципальных учреждений культуры</t>
  </si>
  <si>
    <t xml:space="preserve">    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</si>
  <si>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Прочие денежные взыскания (штрафы) за правонарушения в области дорожного движения</t>
  </si>
  <si>
    <t>1 16 30030 01 6000 140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</si>
  <si>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</si>
  <si>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1 16 32000 04 0000 184</t>
  </si>
  <si>
    <t>1 16 30030 01 0000 140</t>
  </si>
  <si>
    <t xml:space="preserve">        Обеспечение пожарной безопасности муниципального учреждения городского округа Кинешма "Детская база отдыха "Радуга"</t>
  </si>
  <si>
    <t>4420211480</t>
  </si>
  <si>
    <t xml:space="preserve">    Основное мероприятие "Обеспечение антитеррористической защищенности объектов"</t>
  </si>
  <si>
    <t>4900100000</t>
  </si>
  <si>
    <t xml:space="preserve">        Приобретение локализаторов взрыва и ручных металлодетекторов</t>
  </si>
  <si>
    <t>4900111470</t>
  </si>
  <si>
    <t xml:space="preserve">        Обеспечение функционирования многофункциональных центров предоставления государственных и муниципальных услуг</t>
  </si>
  <si>
    <t>53101S2910</t>
  </si>
  <si>
    <t xml:space="preserve">        Разработка проектно-сметной документации на капитальный ремонт автомобильных дорог</t>
  </si>
  <si>
    <t>79900S4000</t>
  </si>
  <si>
    <t xml:space="preserve">        Приобретение комбинированной дорожной машины для уборки города</t>
  </si>
  <si>
    <t>79900S4100</t>
  </si>
  <si>
    <t xml:space="preserve">            Обеспечение функционирования многофункциональных центров предоставления государственных и муниципальных услуг</t>
  </si>
  <si>
    <t xml:space="preserve">            Разработка проектно-сметной документации на капитальный ремонт автомобильных дорог</t>
  </si>
  <si>
    <t xml:space="preserve">            Приобретение комбинированной дорожной машины для уборки города</t>
  </si>
  <si>
    <t xml:space="preserve">            Приобретение локализаторов взрыва и ручных металлодетекторов</t>
  </si>
  <si>
    <t xml:space="preserve">            Обеспечение пожарной безопасности муниципального учреждения городского округа Кинешма "Детская база отдыха "Радуга"</t>
  </si>
  <si>
    <t xml:space="preserve"> 2 02 25497 04 0000 150</t>
  </si>
  <si>
    <t>2 02 20216 04 0000 150</t>
  </si>
  <si>
    <t xml:space="preserve">Приложение 1
к проекту решения городской Думы 
городского округа Кинешма "О внесении изменений в 
решение городской Думы городского округа Кинешма 
 от 19.12.2018 № 69/453 "О бюджете городского округа Кинешма 
на 2019 год и плановый период 2020 и 2021 годов" 
от _________________ № __________  
</t>
  </si>
  <si>
    <t xml:space="preserve">Приложение 2
к проекту решения городской Думы 
городского округа Кинешма "О внесении изменений в 
решение городской Думы городского округа Кинешма 
 от 19.12.2018 № 69/453 "О бюджете городского округа Кинешма 
на 2019 год и плановый период 2020 и 2021 годов" 
от _________________ № __________   
</t>
  </si>
  <si>
    <t xml:space="preserve">        Технологическое обеспечение процедуры проведения государственной итоговой аттестации физических лиц, освоивших образовательные программы среднего общего образования</t>
  </si>
  <si>
    <t>4170211500</t>
  </si>
  <si>
    <t xml:space="preserve">        Разработка проектно-сметной документации по капитальному ремонту мостов, мостовых переходов и проведение государственной экспертизы</t>
  </si>
  <si>
    <t>4620111490</t>
  </si>
  <si>
    <t xml:space="preserve">            Технологическое обеспечение процедуры проведения государственной итоговой аттестации физических лиц, освоивших образовательные программы среднего общего образования</t>
  </si>
  <si>
    <t xml:space="preserve">            Разработка проектно-сметной документации по капитальному ремонту мостов, мостовых переходов и проведение государственной экспертизы</t>
  </si>
  <si>
    <t xml:space="preserve">Приложение 3
к проекту решения городской Думы 
городского округа Кинешма "О внесении изменений в 
решение городской Думы городского округа Кинешма 
 от 19.12.2018 № 69/453 "О бюджете городского округа Кинешма 
на 2019 год и плановый период 2020 и 2021 годов" 
от _________________ № __________ 
</t>
  </si>
  <si>
    <t xml:space="preserve">Приложение 4
к проекту решения городской Думы 
городского округа Кинешма "О внесении изменений в 
решение городской Думы городского округа Кинешма 
 от 19.12.2018 № 69/453 "О бюджете городского округа Кинешма 
на 2019 год и плановый период 2020 и 2021 годов" 
от _________________ № __________  
</t>
  </si>
  <si>
    <t xml:space="preserve">Приложение 5
к проекту решения городской Думы 
городского округа Кинешма "О внесении изменений в 
решение городской Думы городского округа Кинешма 
 от 19.12.2018 № 69/453 "О бюджете городского округа Кинешма 
на 2019 год и плановый период 2020 и 2021 годов" 
от _________________ № __________ 
</t>
  </si>
  <si>
    <t xml:space="preserve">Приложение 6
к проекту решения городской Думы 
городского округа Кинешма "О внесении изменений в 
решение городской Думы городского округа Кинешма 
 от 19.12.2018 № 69/453 "О бюджете городского округа Кинешма 
на 2019 год и плановый период 2020 и 2021 годов" 
от _________________ № __________ 
</t>
  </si>
  <si>
    <t>Плата за размещение твердых коммунальных отходов</t>
  </si>
  <si>
    <t>1 12 01042 01 0000 120</t>
  </si>
  <si>
    <t>Служба государственного финансового контроля Ивановской области</t>
  </si>
  <si>
    <t>043</t>
  </si>
  <si>
    <t>Денежные взыскания (штрафы) за нарушение законодательства РФ о контрактной системе в сфере закупоктоваров, работ, услуг для обеспечения государственных и муниципальных нужд</t>
  </si>
  <si>
    <t xml:space="preserve"> 1 12 01042 01 0000 120</t>
  </si>
  <si>
    <t xml:space="preserve">        Текущий ремонт крыши на объекте: "Жилой дом № 1 по ул. Кооперативная города Кинешма" во исполнение решения Кинешемского городского суда Ивановской области от 12.03.2019 по делу № 2а-582/2019</t>
  </si>
  <si>
    <t>8090011510</t>
  </si>
  <si>
    <t xml:space="preserve">            Текущий ремонт крыши на объекте: "Жилой дом № 1 по ул. Кооперативная города Кинешма" во исполнение решения Кинешемского городского суда Ивановской области от 12.03.2019 по делу № 2а-582/2019</t>
  </si>
  <si>
    <t>2 04 00000 00 0000 000</t>
  </si>
  <si>
    <t>2 04 04010 04 0000 150</t>
  </si>
  <si>
    <t xml:space="preserve"> Предоставление  негосударственными организациями
 грантов для получателей  средств
 бюджетов городских округов
</t>
  </si>
  <si>
    <t xml:space="preserve">        Подготовка к открытию детского сада на 220 мест по ул. Гагарина</t>
  </si>
  <si>
    <t>4170111520</t>
  </si>
  <si>
    <t xml:space="preserve">    Региональный проект "Культурная среда"</t>
  </si>
  <si>
    <t>417A100000</t>
  </si>
  <si>
    <t xml:space="preserve">        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</si>
  <si>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417A155195</t>
  </si>
  <si>
    <t xml:space="preserve">    Основное мероприятие "Формирование доступной среды жизнедеятельности для инвалидов"</t>
  </si>
  <si>
    <t>4410400000</t>
  </si>
  <si>
    <t xml:space="preserve">        Реализация инновационного социального проекта "Мы - лучи одного солнца"</t>
  </si>
  <si>
    <t>4410411540</t>
  </si>
  <si>
    <t xml:space="preserve">        Реализация программ формирования современной городской среды</t>
  </si>
  <si>
    <t xml:space="preserve">            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</si>
  <si>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 xml:space="preserve">            Подготовка к открытию детского сада на 220 мест по ул. Гагарина</t>
  </si>
  <si>
    <t xml:space="preserve">            Реализация программ формирования современной городской среды</t>
  </si>
  <si>
    <t xml:space="preserve">            Реализация инновационного социального проекта "Мы - лучи одного солнца"</t>
  </si>
  <si>
    <t xml:space="preserve">  Подпрограмма "Благоустройство дворовых и общественных территорий"</t>
  </si>
  <si>
    <t>5610000000</t>
  </si>
  <si>
    <t>561F200000</t>
  </si>
  <si>
    <t>561F255550</t>
  </si>
  <si>
    <t xml:space="preserve">  Подпрограмма "Благоустройство площади Революции в г. Кинешма Ивановской области"</t>
  </si>
  <si>
    <t>5620000000</t>
  </si>
  <si>
    <t xml:space="preserve">    Основное мероприятие "Создание комфортной городской среды"</t>
  </si>
  <si>
    <t>562F200000</t>
  </si>
  <si>
    <t xml:space="preserve">        Подпрограмма "Благоустройство дворовых и общественных территорий"</t>
  </si>
  <si>
    <t xml:space="preserve">        Подпрограмма "Благоустройство площади Революции в г. Кинешма Ивановской области"</t>
  </si>
  <si>
    <t xml:space="preserve">    Региональный проект "Формирование комфортной городской среды"</t>
  </si>
  <si>
    <t xml:space="preserve"> 1 17 05040 04 0001 180</t>
  </si>
  <si>
    <t>Плата за право на заключение договора на установку и эксплуатацию рекламной конструкции</t>
  </si>
  <si>
    <t xml:space="preserve">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</si>
  <si>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 на 2019-2021 годы"</t>
  </si>
  <si>
    <t xml:space="preserve">  Муниципальная программа городского округа Кинешма "Профилактика правонарушений в городском округе Кинешма на 2019-2021 годы"</t>
  </si>
  <si>
    <t xml:space="preserve">  Муниципальная программа городского округа Кинешма "Охрана окружающей среды"</t>
  </si>
  <si>
    <t>5510000000</t>
  </si>
  <si>
    <t xml:space="preserve">    Региональный проект "Оздоровление Волги"</t>
  </si>
  <si>
    <t>551G600000</t>
  </si>
  <si>
    <t>551G684700</t>
  </si>
  <si>
    <t xml:space="preserve">    городская Дума городского округа Кинешма</t>
  </si>
  <si>
    <t xml:space="preserve">    Иные непрограммные направления</t>
  </si>
  <si>
    <t xml:space="preserve">    Контрольно-счетной комиссии городского округа Кинешма</t>
  </si>
  <si>
    <t xml:space="preserve">    Резервный фонд администрации городского округа Кинешма</t>
  </si>
  <si>
    <t xml:space="preserve">          Иные непрограммные направления</t>
  </si>
  <si>
    <t xml:space="preserve">        Муниципальная программа городского округа Кинешма "Профилактика правонарушений в городском округе Кинешма на 2019-2021 годы"</t>
  </si>
  <si>
    <t xml:space="preserve">  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 на 2019-2021 годы"</t>
  </si>
  <si>
    <t xml:space="preserve">  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</si>
  <si>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Муниципальная программа городского округа Кинешма "Охрана окружающей среды"</t>
  </si>
  <si>
    <t xml:space="preserve">          городская Дума городского округа Кинешма</t>
  </si>
  <si>
    <t xml:space="preserve">          Контрольно-счетной комиссии городского округа Кинешма</t>
  </si>
  <si>
    <t xml:space="preserve">        Разработка проектной и рабочей документации на строительство и (или) реконструкцию комплексов очистных сооружений и систем водоотведения с целью сокращения доли загрязненных сточных вод</t>
  </si>
  <si>
    <t xml:space="preserve">            Разработка проектной и рабочей документации на строительство и (или) реконструкцию комплексов очистных сооружений и систем водоотведения с целью сокращения доли загрязненных сточных вод</t>
  </si>
  <si>
    <t>46101S0510</t>
  </si>
  <si>
    <t xml:space="preserve">  Подпрограмма "Развитие комплекса очистных сооружений и систем водоотведения в г. Кинешма"</t>
  </si>
  <si>
    <t xml:space="preserve">        Подпрограмма "Развитие комплекса очистных сооружений и систем водоотведения в г. Кинешма"</t>
  </si>
  <si>
    <t xml:space="preserve">      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</si>
  <si>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    Основное мероприятие "Содействие развитию образовательных организаций"</t>
  </si>
  <si>
    <t xml:space="preserve">          Основное мероприятие "Развитие интеллектуального, творческого и физического потенциала обучающихся"</t>
  </si>
  <si>
    <t xml:space="preserve">          Региональный проект "Культурная среда"</t>
  </si>
  <si>
    <t xml:space="preserve">          Основное мероприятие "Охрана, сохранение и популяризация культурного и исторического наследия городского округа Кинешма"</t>
  </si>
  <si>
    <t xml:space="preserve">          Основное мероприятие "Модернизация и развитие инфраструктуры системы образования"</t>
  </si>
  <si>
    <t xml:space="preserve">          Основное мероприятие "Финансовое обеспечение предоставления мер социальной поддержки в сфере общего образования"</t>
  </si>
  <si>
    <t xml:space="preserve">          Основное мероприятие "Предоставление мер поддержки отдельным категориям работников учреждений социальной сферы"</t>
  </si>
  <si>
    <t xml:space="preserve">          Резервный фонд администрации городского округа Кинешма</t>
  </si>
  <si>
    <t xml:space="preserve">      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</si>
  <si>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 xml:space="preserve">          Основное мероприятие "Регулирование численности безнадзорных животных на территории городского округа Кинешма"</t>
  </si>
  <si>
    <t xml:space="preserve">          Основное мероприятие "Текущее содержание гидротехнических сооружений"</t>
  </si>
  <si>
    <t xml:space="preserve">      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</si>
  <si>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    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</si>
  <si>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  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</si>
  <si>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 xml:space="preserve">          Региональный проект "Формирование комфортной городской среды"</t>
  </si>
  <si>
    <t xml:space="preserve">          Основное мероприятие "Создание комфортной городской среды"</t>
  </si>
  <si>
    <t xml:space="preserve">          Региональный проект "Оздоровление Волги"</t>
  </si>
  <si>
    <t xml:space="preserve">          Основное мероприятие "Организация работы с молодежью"</t>
  </si>
  <si>
    <t xml:space="preserve">          Основное мероприятие "Обеспечение антитеррористической защищенности объектов"</t>
  </si>
  <si>
    <t xml:space="preserve">          Основное мероприятие "Реализация "Всероссийского физкультурно-спортивного комплекса "Готов к труду и обороне" (ГТО)"</t>
  </si>
  <si>
    <t xml:space="preserve">      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</si>
  <si>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          Основное мероприятие "Создание условий для решения вопросов местного значения, иных отдельных государственных полномочий"</t>
  </si>
  <si>
    <t xml:space="preserve">          Основное мероприятие "Оказание мер поддержки гражданам, участвующим в охране общественного порядка, создание условий для деятельности народной дружины"</t>
  </si>
  <si>
    <t xml:space="preserve">          Основное мероприятие "Реализация мероприятий по содействию занятости населения"</t>
  </si>
  <si>
    <t xml:space="preserve">          Основное мероприятие "Оказание поддержки некоммерческим организациям"</t>
  </si>
  <si>
    <t xml:space="preserve">      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</si>
  <si>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        Основное мероприятие "Поддержка и развитие малого предпринимательства в городском округе Кинешма"</t>
  </si>
  <si>
    <t xml:space="preserve">          Основное мероприятие "Формирование доступной среды жизнедеятельности для инвалидов"</t>
  </si>
  <si>
    <t xml:space="preserve">          Основное мероприятие "Предоставление мер поддержки отдельным категориям жителей"</t>
  </si>
  <si>
    <t xml:space="preserve">          Основное мероприятие "Улучшение жилищных условий граждан, проживающих на территории городского округа Кинешма"</t>
  </si>
  <si>
    <t xml:space="preserve">          Основное мероприятие "Предоставление мер поддержки молодым семьям"</t>
  </si>
  <si>
    <t xml:space="preserve">          Основное мероприятие "Предоставление мер социальной поддержки детям и семьям, имеющим детей"</t>
  </si>
  <si>
    <t xml:space="preserve">          Основное мероприятие "Оказание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обстановке"</t>
  </si>
  <si>
    <t xml:space="preserve">          Основное мероприятие "Обеспечение сбалансированности и устойчивости бюджета городского округа Кинешма"</t>
  </si>
  <si>
    <t xml:space="preserve">          Основное мероприятие "Управление и распоряжение муниципальным имуществом городского округа Кинешма"</t>
  </si>
  <si>
    <t>Комитет по культуре и туризму администрации городского округа Кинешма</t>
  </si>
  <si>
    <t>2 02 45424 04 0000 150</t>
  </si>
  <si>
    <t>2 04 04099 04 0000 150</t>
  </si>
  <si>
    <t>2 07 04050 04 0000 150</t>
  </si>
  <si>
    <t>Прочие безвозмездные поступления от негосударственных организаций в бюджеты городских округов</t>
  </si>
  <si>
    <t>Прочие безвозмездные поступления в бюджеты городских округов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</si>
  <si>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</si>
  <si>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2 02 20299 04 0000 150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</si>
  <si>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</si>
  <si>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</si>
  <si>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</si>
  <si>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2 02 25497 04 0000 150</t>
  </si>
  <si>
    <t>2 07 00000 00 0000 000</t>
  </si>
  <si>
    <t>ПРОЧИЕ БЕЗВОЗМЕЗДНЫЕ ПОСТУПЛЕНИЯ</t>
  </si>
  <si>
    <t xml:space="preserve"> БЕЗВОЗМЕЗДНЫЕ   ПОСТУПЛЕНИЯ   ОТ
 НЕГОСУДАРСТВЕННЫХ ОРГАНИЗАЦИЙ</t>
  </si>
  <si>
    <t>2 02 40000 00 0000 150</t>
  </si>
  <si>
    <t xml:space="preserve">  Подпрограмма "Переселение граждан из аварийного жилищного фонда"</t>
  </si>
  <si>
    <t>4550000000</t>
  </si>
  <si>
    <t xml:space="preserve">    Региональный проект "Обеспечение устойчивого сокращения неприггодного для проживания жилищного фонда"</t>
  </si>
  <si>
    <t>455F300000</t>
  </si>
  <si>
    <t xml:space="preserve">        Субсидии бюджетам городских округов на обеспечение мероприятий по переселению граждан из аварийного жилищного фонда, в том числе переселения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</si>
  <si>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455F389502</t>
  </si>
  <si>
    <t xml:space="preserve">        Субсидии бюджетам городских округов на обеспечение мероприятий по переселению граждан из аварийного жилищного фонда, в том числе переселения граждан из аварийного жилищного фонда с учетом необходимости развития малоэтажного жилищного строительства за счет средств бюджетов</t>
  </si>
  <si>
    <t>455F389602</t>
  </si>
  <si>
    <t xml:space="preserve">    Основное мероприятие "Рекультивация городской свалки твердых бытовых отходов"</t>
  </si>
  <si>
    <t>5500100000</t>
  </si>
  <si>
    <t xml:space="preserve">        Разработка проекта рекультивации городской свалки твердых бытовых отходов г. Кинешма</t>
  </si>
  <si>
    <t>5500111130</t>
  </si>
  <si>
    <t xml:space="preserve">        Субсидии бюджетам муниципальных образований Ивановской области на организацию благоустройства территорий в рамках поддержки местных инициатив</t>
  </si>
  <si>
    <t>561F2S5100</t>
  </si>
  <si>
    <t xml:space="preserve">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</si>
  <si>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562F254240</t>
  </si>
  <si>
    <t xml:space="preserve">            Субсидии бюджетам муниципальных образований Ивановской области на организацию благоустройства территорий в рамках поддержки местных инициатив</t>
  </si>
  <si>
    <t xml:space="preserve">  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</si>
  <si>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Подпрограмма "Переселение граждан из аварийного жилищного фонда"</t>
  </si>
  <si>
    <t xml:space="preserve">          Региональный проект "Обеспечение устойчивого сокращения неприггодного для проживания жилищного фонда"</t>
  </si>
  <si>
    <t xml:space="preserve">            Субсидии бюджетам городских округов на обеспечение мероприятий по переселению граждан из аварийного жилищного фонда, в том числе переселения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</si>
  <si>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           Субсидии бюджетам городских округов на обеспечение мероприятий по переселению граждан из аварийного жилищного фонда, в том числе переселения граждан из аварийного жилищного фонда с учетом необходимости развития малоэтажного жилищного строительства за счет средств бюджетов</t>
  </si>
  <si>
    <t xml:space="preserve">          Основное мероприятие "Рекультивация городской свалки твердых бытовых отходов"</t>
  </si>
  <si>
    <t xml:space="preserve">            Разработка проекта рекультивации городской свалки твердых бытовых отходов г. Кинешма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</si>
</sst>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.0"/>
    <numFmt numFmtId="168" formatCode="#,##0.00_ ;\-#,##0.00\ "/>
  </numFmts>
  <fonts count="47">
    <font>
      <sz val="10"/>
      <name val="Georgia"/>
      <charset val="204"/>
    </font>
    <font>
      <sz val="10"/>
      <name val="Georgia"/>
      <family val="1"/>
      <charset val="204"/>
    </font>
    <font>
      <sz val="8"/>
      <name val="Georgia"/>
      <family val="1"/>
      <charset val="204"/>
    </font>
    <font>
      <sz val="9"/>
      <name val="Georgia"/>
      <family val="1"/>
      <charset val="204"/>
    </font>
    <font>
      <sz val="9"/>
      <name val="Georgia"/>
      <family val="1"/>
      <charset val="204"/>
    </font>
    <font>
      <sz val="10"/>
      <name val="Georgia"/>
      <family val="1"/>
      <charset val="204"/>
    </font>
    <font>
      <sz val="14"/>
      <name val="Academy"/>
      <charset val="204"/>
    </font>
    <font>
      <sz val="8"/>
      <name val="Academy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Georgia"/>
      <family val="1"/>
      <charset val="204"/>
    </font>
    <font>
      <sz val="12"/>
      <name val="Georgia"/>
      <family val="1"/>
      <charset val="204"/>
    </font>
    <font>
      <sz val="11"/>
      <name val="Calibri"/>
      <family val="2"/>
    </font>
    <font>
      <sz val="14"/>
      <name val="Times New Roman"/>
      <family val="1"/>
      <charset val="204"/>
    </font>
    <font>
      <b/>
      <sz val="12"/>
      <name val="Georgia"/>
      <family val="1"/>
      <charset val="204"/>
    </font>
    <font>
      <sz val="12"/>
      <name val="DFKai-SB"/>
      <family val="4"/>
    </font>
    <font>
      <b/>
      <sz val="12"/>
      <name val="Cambria"/>
      <family val="1"/>
      <charset val="204"/>
    </font>
    <font>
      <sz val="10"/>
      <name val="Georgia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Georgia"/>
      <family val="1"/>
      <charset val="204"/>
    </font>
    <font>
      <sz val="9"/>
      <color rgb="FFFF0000"/>
      <name val="Georgia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Georgia"/>
      <family val="1"/>
      <charset val="204"/>
    </font>
    <font>
      <b/>
      <i/>
      <sz val="12"/>
      <name val="Georgia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9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93">
    <xf numFmtId="0" fontId="0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25" fillId="0" borderId="0"/>
    <xf numFmtId="0" fontId="26" fillId="3" borderId="0"/>
    <xf numFmtId="0" fontId="26" fillId="0" borderId="0">
      <alignment horizontal="left" vertical="top" wrapText="1"/>
    </xf>
    <xf numFmtId="0" fontId="26" fillId="0" borderId="0">
      <alignment horizontal="left" wrapText="1"/>
    </xf>
    <xf numFmtId="0" fontId="26" fillId="0" borderId="0"/>
    <xf numFmtId="0" fontId="27" fillId="0" borderId="0">
      <alignment horizontal="center" wrapText="1"/>
    </xf>
    <xf numFmtId="0" fontId="27" fillId="0" borderId="0">
      <alignment horizontal="center" wrapText="1"/>
    </xf>
    <xf numFmtId="0" fontId="27" fillId="0" borderId="0">
      <alignment horizontal="center"/>
    </xf>
    <xf numFmtId="0" fontId="27" fillId="0" borderId="0">
      <alignment horizontal="center"/>
    </xf>
    <xf numFmtId="0" fontId="26" fillId="0" borderId="0">
      <alignment horizontal="right"/>
    </xf>
    <xf numFmtId="0" fontId="26" fillId="0" borderId="0">
      <alignment wrapText="1"/>
    </xf>
    <xf numFmtId="0" fontId="26" fillId="3" borderId="15"/>
    <xf numFmtId="0" fontId="26" fillId="0" borderId="0">
      <alignment horizontal="right"/>
    </xf>
    <xf numFmtId="0" fontId="26" fillId="0" borderId="16">
      <alignment horizontal="center" vertical="center" wrapText="1"/>
    </xf>
    <xf numFmtId="0" fontId="26" fillId="3" borderId="15"/>
    <xf numFmtId="0" fontId="26" fillId="3" borderId="17"/>
    <xf numFmtId="0" fontId="26" fillId="0" borderId="16">
      <alignment horizontal="center" vertical="center" wrapText="1"/>
    </xf>
    <xf numFmtId="49" fontId="26" fillId="0" borderId="16">
      <alignment horizontal="center" vertical="top" shrinkToFit="1"/>
    </xf>
    <xf numFmtId="0" fontId="26" fillId="0" borderId="18"/>
    <xf numFmtId="0" fontId="26" fillId="0" borderId="16">
      <alignment horizontal="center" vertical="top" wrapText="1"/>
    </xf>
    <xf numFmtId="0" fontId="26" fillId="0" borderId="16">
      <alignment horizontal="center" vertical="center" shrinkToFit="1"/>
    </xf>
    <xf numFmtId="4" fontId="26" fillId="0" borderId="16">
      <alignment horizontal="right" vertical="top" shrinkToFit="1"/>
    </xf>
    <xf numFmtId="0" fontId="26" fillId="3" borderId="19"/>
    <xf numFmtId="10" fontId="26" fillId="0" borderId="16">
      <alignment horizontal="center" vertical="top" shrinkToFit="1"/>
    </xf>
    <xf numFmtId="0" fontId="28" fillId="0" borderId="16">
      <alignment horizontal="left"/>
    </xf>
    <xf numFmtId="0" fontId="26" fillId="3" borderId="19"/>
    <xf numFmtId="4" fontId="28" fillId="4" borderId="16">
      <alignment horizontal="right" vertical="top" shrinkToFit="1"/>
    </xf>
    <xf numFmtId="49" fontId="28" fillId="0" borderId="16">
      <alignment horizontal="left" vertical="top" shrinkToFit="1"/>
    </xf>
    <xf numFmtId="0" fontId="26" fillId="3" borderId="17"/>
    <xf numFmtId="4" fontId="28" fillId="4" borderId="16">
      <alignment horizontal="right" vertical="top" shrinkToFit="1"/>
    </xf>
    <xf numFmtId="0" fontId="26" fillId="0" borderId="19"/>
    <xf numFmtId="10" fontId="28" fillId="4" borderId="16">
      <alignment horizontal="center" vertical="top" shrinkToFit="1"/>
    </xf>
    <xf numFmtId="0" fontId="26" fillId="0" borderId="0">
      <alignment horizontal="left" wrapText="1"/>
    </xf>
    <xf numFmtId="0" fontId="26" fillId="0" borderId="0"/>
    <xf numFmtId="49" fontId="26" fillId="0" borderId="16">
      <alignment horizontal="left" vertical="top" wrapText="1"/>
    </xf>
    <xf numFmtId="0" fontId="26" fillId="3" borderId="15">
      <alignment horizontal="left"/>
    </xf>
    <xf numFmtId="4" fontId="26" fillId="5" borderId="16">
      <alignment horizontal="right" vertical="top" shrinkToFit="1"/>
    </xf>
    <xf numFmtId="0" fontId="26" fillId="0" borderId="16">
      <alignment horizontal="left" vertical="top" wrapText="1"/>
    </xf>
    <xf numFmtId="0" fontId="26" fillId="3" borderId="17">
      <alignment horizontal="center"/>
    </xf>
    <xf numFmtId="4" fontId="28" fillId="5" borderId="16">
      <alignment horizontal="right" vertical="top" shrinkToFit="1"/>
    </xf>
    <xf numFmtId="0" fontId="26" fillId="3" borderId="0">
      <alignment horizontal="center"/>
    </xf>
    <xf numFmtId="10" fontId="28" fillId="5" borderId="16">
      <alignment horizontal="center" vertical="top" shrinkToFit="1"/>
    </xf>
    <xf numFmtId="4" fontId="26" fillId="0" borderId="16">
      <alignment horizontal="right" vertical="top" shrinkToFit="1"/>
    </xf>
    <xf numFmtId="0" fontId="26" fillId="3" borderId="17">
      <alignment horizontal="left"/>
    </xf>
    <xf numFmtId="49" fontId="28" fillId="0" borderId="16">
      <alignment horizontal="left" vertical="top" wrapText="1"/>
    </xf>
    <xf numFmtId="0" fontId="26" fillId="3" borderId="19">
      <alignment horizontal="left"/>
    </xf>
    <xf numFmtId="0" fontId="26" fillId="3" borderId="0">
      <alignment horizontal="left"/>
    </xf>
    <xf numFmtId="4" fontId="26" fillId="0" borderId="18">
      <alignment horizontal="right" shrinkToFit="1"/>
    </xf>
    <xf numFmtId="4" fontId="26" fillId="0" borderId="0">
      <alignment horizontal="right" shrinkToFit="1"/>
    </xf>
    <xf numFmtId="0" fontId="26" fillId="3" borderId="19">
      <alignment horizontal="center"/>
    </xf>
    <xf numFmtId="164" fontId="29" fillId="0" borderId="0">
      <alignment vertical="top" wrapText="1"/>
    </xf>
    <xf numFmtId="0" fontId="25" fillId="0" borderId="0"/>
    <xf numFmtId="0" fontId="11" fillId="0" borderId="0"/>
    <xf numFmtId="0" fontId="30" fillId="0" borderId="0">
      <alignment vertical="top" wrapText="1"/>
    </xf>
    <xf numFmtId="0" fontId="5" fillId="0" borderId="0"/>
    <xf numFmtId="0" fontId="5" fillId="0" borderId="0"/>
    <xf numFmtId="0" fontId="24" fillId="0" borderId="0"/>
    <xf numFmtId="0" fontId="11" fillId="2" borderId="0"/>
    <xf numFmtId="0" fontId="29" fillId="0" borderId="0">
      <alignment vertical="top" wrapText="1"/>
    </xf>
    <xf numFmtId="0" fontId="29" fillId="0" borderId="0">
      <alignment vertical="top" wrapText="1"/>
    </xf>
    <xf numFmtId="0" fontId="18" fillId="0" borderId="0"/>
    <xf numFmtId="0" fontId="1" fillId="0" borderId="0"/>
    <xf numFmtId="0" fontId="6" fillId="0" borderId="0"/>
    <xf numFmtId="165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26" fillId="0" borderId="16">
      <alignment horizontal="left" vertical="top" wrapText="1"/>
    </xf>
    <xf numFmtId="0" fontId="28" fillId="0" borderId="16">
      <alignment horizontal="left" vertical="top" wrapText="1"/>
    </xf>
    <xf numFmtId="0" fontId="43" fillId="0" borderId="0">
      <alignment horizontal="left" vertical="top" wrapText="1"/>
    </xf>
    <xf numFmtId="0" fontId="43" fillId="0" borderId="0"/>
    <xf numFmtId="0" fontId="44" fillId="0" borderId="0">
      <alignment horizontal="center" wrapText="1"/>
    </xf>
    <xf numFmtId="0" fontId="44" fillId="0" borderId="0">
      <alignment horizontal="center"/>
    </xf>
    <xf numFmtId="0" fontId="43" fillId="0" borderId="0">
      <alignment wrapText="1"/>
    </xf>
    <xf numFmtId="0" fontId="43" fillId="0" borderId="0">
      <alignment horizontal="right"/>
    </xf>
    <xf numFmtId="0" fontId="43" fillId="0" borderId="22">
      <alignment horizontal="center" vertical="center" wrapText="1"/>
    </xf>
    <xf numFmtId="0" fontId="43" fillId="0" borderId="16">
      <alignment horizontal="center" vertical="center" shrinkToFit="1"/>
    </xf>
    <xf numFmtId="0" fontId="43" fillId="0" borderId="16">
      <alignment horizontal="left" vertical="top" wrapText="1"/>
    </xf>
    <xf numFmtId="4" fontId="43" fillId="5" borderId="16">
      <alignment horizontal="right" vertical="top" shrinkToFit="1"/>
    </xf>
    <xf numFmtId="0" fontId="45" fillId="0" borderId="23">
      <alignment horizontal="left"/>
    </xf>
    <xf numFmtId="4" fontId="45" fillId="4" borderId="16">
      <alignment horizontal="right" vertical="top" shrinkToFit="1"/>
    </xf>
    <xf numFmtId="0" fontId="43" fillId="0" borderId="19"/>
    <xf numFmtId="0" fontId="43" fillId="0" borderId="0">
      <alignment horizontal="left" wrapText="1"/>
    </xf>
    <xf numFmtId="0" fontId="43" fillId="0" borderId="0"/>
    <xf numFmtId="0" fontId="43" fillId="0" borderId="0"/>
    <xf numFmtId="0" fontId="43" fillId="3" borderId="0"/>
    <xf numFmtId="0" fontId="45" fillId="0" borderId="16">
      <alignment horizontal="left" vertical="top" wrapText="1"/>
    </xf>
    <xf numFmtId="0" fontId="43" fillId="3" borderId="0">
      <alignment horizontal="center"/>
    </xf>
    <xf numFmtId="4" fontId="43" fillId="0" borderId="16">
      <alignment horizontal="right" vertical="top" shrinkToFit="1"/>
    </xf>
    <xf numFmtId="4" fontId="43" fillId="0" borderId="0">
      <alignment horizontal="right" shrinkToFit="1"/>
    </xf>
  </cellStyleXfs>
  <cellXfs count="376">
    <xf numFmtId="0" fontId="0" fillId="0" borderId="0" xfId="0"/>
    <xf numFmtId="0" fontId="3" fillId="0" borderId="0" xfId="0" applyFont="1"/>
    <xf numFmtId="0" fontId="4" fillId="0" borderId="0" xfId="67" applyFont="1"/>
    <xf numFmtId="0" fontId="5" fillId="0" borderId="0" xfId="67" applyFont="1"/>
    <xf numFmtId="0" fontId="9" fillId="0" borderId="0" xfId="0" applyFont="1"/>
    <xf numFmtId="0" fontId="8" fillId="0" borderId="0" xfId="67" applyFont="1"/>
    <xf numFmtId="0" fontId="9" fillId="0" borderId="0" xfId="66" applyFont="1"/>
    <xf numFmtId="0" fontId="10" fillId="0" borderId="0" xfId="66" applyFont="1" applyFill="1" applyAlignment="1"/>
    <xf numFmtId="0" fontId="10" fillId="0" borderId="0" xfId="66" applyFont="1" applyFill="1"/>
    <xf numFmtId="49" fontId="10" fillId="0" borderId="0" xfId="66" applyNumberFormat="1" applyFont="1"/>
    <xf numFmtId="0" fontId="9" fillId="0" borderId="1" xfId="66" applyFont="1" applyBorder="1" applyAlignment="1">
      <alignment horizontal="center" vertical="center" wrapText="1"/>
    </xf>
    <xf numFmtId="49" fontId="9" fillId="0" borderId="2" xfId="66" applyNumberFormat="1" applyFont="1" applyBorder="1" applyAlignment="1">
      <alignment horizontal="center" vertical="center"/>
    </xf>
    <xf numFmtId="49" fontId="9" fillId="0" borderId="2" xfId="66" applyNumberFormat="1" applyFont="1" applyBorder="1" applyAlignment="1">
      <alignment horizontal="center" vertical="center" wrapText="1"/>
    </xf>
    <xf numFmtId="49" fontId="9" fillId="0" borderId="3" xfId="66" applyNumberFormat="1" applyFont="1" applyBorder="1" applyAlignment="1">
      <alignment horizontal="center" vertical="center" wrapText="1"/>
    </xf>
    <xf numFmtId="49" fontId="9" fillId="0" borderId="3" xfId="66" applyNumberFormat="1" applyFont="1" applyBorder="1" applyAlignment="1">
      <alignment vertical="center"/>
    </xf>
    <xf numFmtId="167" fontId="9" fillId="0" borderId="2" xfId="66" applyNumberFormat="1" applyFont="1" applyBorder="1" applyAlignment="1">
      <alignment vertical="center" wrapText="1"/>
    </xf>
    <xf numFmtId="49" fontId="9" fillId="0" borderId="4" xfId="66" applyNumberFormat="1" applyFont="1" applyBorder="1" applyAlignment="1">
      <alignment vertical="center"/>
    </xf>
    <xf numFmtId="167" fontId="9" fillId="0" borderId="2" xfId="66" applyNumberFormat="1" applyFont="1" applyBorder="1" applyAlignment="1">
      <alignment vertical="center"/>
    </xf>
    <xf numFmtId="3" fontId="9" fillId="0" borderId="0" xfId="66" applyNumberFormat="1" applyFont="1"/>
    <xf numFmtId="49" fontId="10" fillId="0" borderId="0" xfId="66" applyNumberFormat="1" applyFont="1" applyFill="1"/>
    <xf numFmtId="167" fontId="9" fillId="0" borderId="1" xfId="66" applyNumberFormat="1" applyFont="1" applyFill="1" applyBorder="1" applyAlignment="1">
      <alignment horizontal="center"/>
    </xf>
    <xf numFmtId="49" fontId="10" fillId="0" borderId="2" xfId="66" applyNumberFormat="1" applyFont="1" applyBorder="1" applyAlignment="1">
      <alignment horizontal="center" vertical="center" wrapText="1"/>
    </xf>
    <xf numFmtId="49" fontId="10" fillId="0" borderId="3" xfId="66" applyNumberFormat="1" applyFont="1" applyBorder="1" applyAlignment="1">
      <alignment horizontal="center" vertical="center" wrapText="1"/>
    </xf>
    <xf numFmtId="167" fontId="10" fillId="0" borderId="1" xfId="66" applyNumberFormat="1" applyFont="1" applyFill="1" applyBorder="1" applyAlignment="1">
      <alignment horizontal="center" vertical="center"/>
    </xf>
    <xf numFmtId="49" fontId="14" fillId="0" borderId="1" xfId="67" applyNumberFormat="1" applyFont="1" applyFill="1" applyBorder="1" applyAlignment="1">
      <alignment horizontal="center" vertical="center"/>
    </xf>
    <xf numFmtId="49" fontId="15" fillId="0" borderId="1" xfId="67" applyNumberFormat="1" applyFont="1" applyFill="1" applyBorder="1" applyAlignment="1">
      <alignment horizontal="center" vertical="center"/>
    </xf>
    <xf numFmtId="0" fontId="15" fillId="0" borderId="1" xfId="67" applyFont="1" applyFill="1" applyBorder="1" applyAlignment="1">
      <alignment horizontal="center" vertical="center"/>
    </xf>
    <xf numFmtId="49" fontId="15" fillId="0" borderId="1" xfId="67" applyNumberFormat="1" applyFont="1" applyBorder="1" applyAlignment="1">
      <alignment horizontal="center" vertical="center"/>
    </xf>
    <xf numFmtId="0" fontId="15" fillId="0" borderId="1" xfId="67" applyFont="1" applyBorder="1" applyAlignment="1">
      <alignment horizontal="center" vertical="center"/>
    </xf>
    <xf numFmtId="166" fontId="15" fillId="0" borderId="1" xfId="67" applyNumberFormat="1" applyFont="1" applyFill="1" applyBorder="1" applyAlignment="1">
      <alignment horizontal="center" vertical="center"/>
    </xf>
    <xf numFmtId="0" fontId="8" fillId="0" borderId="1" xfId="67" applyFont="1" applyBorder="1" applyAlignment="1">
      <alignment horizontal="center" vertical="center" wrapText="1"/>
    </xf>
    <xf numFmtId="0" fontId="8" fillId="0" borderId="1" xfId="67" applyFont="1" applyBorder="1" applyAlignment="1">
      <alignment horizontal="center" vertical="center" textRotation="90" wrapText="1"/>
    </xf>
    <xf numFmtId="166" fontId="8" fillId="0" borderId="1" xfId="67" applyNumberFormat="1" applyFont="1" applyBorder="1" applyAlignment="1">
      <alignment horizontal="center" vertical="center" wrapText="1"/>
    </xf>
    <xf numFmtId="166" fontId="14" fillId="0" borderId="1" xfId="67" applyNumberFormat="1" applyFont="1" applyFill="1" applyBorder="1" applyAlignment="1">
      <alignment horizontal="center" vertical="center"/>
    </xf>
    <xf numFmtId="166" fontId="14" fillId="0" borderId="1" xfId="67" applyNumberFormat="1" applyFont="1" applyBorder="1" applyAlignment="1">
      <alignment horizontal="center" vertical="center"/>
    </xf>
    <xf numFmtId="166" fontId="15" fillId="0" borderId="1" xfId="67" applyNumberFormat="1" applyFont="1" applyBorder="1" applyAlignment="1">
      <alignment horizontal="center" vertical="center"/>
    </xf>
    <xf numFmtId="0" fontId="8" fillId="0" borderId="1" xfId="67" applyFont="1" applyBorder="1" applyAlignment="1">
      <alignment horizontal="center"/>
    </xf>
    <xf numFmtId="0" fontId="14" fillId="0" borderId="1" xfId="67" applyFont="1" applyBorder="1" applyAlignment="1">
      <alignment horizontal="center" vertical="center"/>
    </xf>
    <xf numFmtId="49" fontId="15" fillId="6" borderId="1" xfId="67" applyNumberFormat="1" applyFont="1" applyFill="1" applyBorder="1" applyAlignment="1">
      <alignment horizontal="center" vertical="center"/>
    </xf>
    <xf numFmtId="0" fontId="3" fillId="0" borderId="0" xfId="67" applyFont="1"/>
    <xf numFmtId="0" fontId="12" fillId="2" borderId="0" xfId="0" applyFont="1" applyFill="1" applyAlignment="1">
      <alignment horizontal="center" vertical="center" wrapText="1"/>
    </xf>
    <xf numFmtId="0" fontId="8" fillId="0" borderId="0" xfId="67" applyFont="1" applyAlignment="1">
      <alignment horizontal="center" vertical="center"/>
    </xf>
    <xf numFmtId="166" fontId="8" fillId="0" borderId="0" xfId="67" applyNumberFormat="1" applyFont="1" applyAlignment="1">
      <alignment horizontal="center" vertical="center"/>
    </xf>
    <xf numFmtId="0" fontId="9" fillId="0" borderId="0" xfId="67" applyFont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 shrinkToFit="1"/>
    </xf>
    <xf numFmtId="4" fontId="12" fillId="2" borderId="1" xfId="0" applyNumberFormat="1" applyFont="1" applyFill="1" applyBorder="1" applyAlignment="1">
      <alignment horizontal="center" vertical="center" shrinkToFit="1"/>
    </xf>
    <xf numFmtId="0" fontId="17" fillId="0" borderId="0" xfId="0" applyFont="1"/>
    <xf numFmtId="0" fontId="13" fillId="2" borderId="1" xfId="0" applyFont="1" applyFill="1" applyBorder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2" borderId="1" xfId="0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center" vertical="center" shrinkToFit="1"/>
    </xf>
    <xf numFmtId="0" fontId="12" fillId="2" borderId="0" xfId="0" applyFont="1" applyFill="1" applyAlignment="1">
      <alignment horizontal="left" vertical="center" shrinkToFit="1"/>
    </xf>
    <xf numFmtId="0" fontId="12" fillId="2" borderId="0" xfId="0" applyFont="1" applyFill="1" applyAlignment="1">
      <alignment horizontal="center" vertical="center" shrinkToFit="1"/>
    </xf>
    <xf numFmtId="0" fontId="12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7" fillId="0" borderId="0" xfId="0" applyFont="1" applyFill="1"/>
    <xf numFmtId="166" fontId="14" fillId="6" borderId="1" xfId="67" applyNumberFormat="1" applyFont="1" applyFill="1" applyBorder="1" applyAlignment="1">
      <alignment horizontal="center" vertical="center"/>
    </xf>
    <xf numFmtId="166" fontId="15" fillId="6" borderId="1" xfId="67" applyNumberFormat="1" applyFont="1" applyFill="1" applyBorder="1" applyAlignment="1">
      <alignment horizontal="center" vertical="center"/>
    </xf>
    <xf numFmtId="166" fontId="31" fillId="0" borderId="1" xfId="67" applyNumberFormat="1" applyFont="1" applyFill="1" applyBorder="1" applyAlignment="1">
      <alignment horizontal="center" vertical="center"/>
    </xf>
    <xf numFmtId="0" fontId="8" fillId="0" borderId="0" xfId="67" applyFont="1" applyAlignment="1">
      <alignment horizontal="left" vertical="center"/>
    </xf>
    <xf numFmtId="0" fontId="8" fillId="0" borderId="0" xfId="67" applyFont="1" applyAlignment="1">
      <alignment horizontal="left" vertical="center" wrapText="1"/>
    </xf>
    <xf numFmtId="0" fontId="12" fillId="0" borderId="1" xfId="0" applyFont="1" applyBorder="1" applyAlignment="1">
      <alignment vertical="center" shrinkToFit="1"/>
    </xf>
    <xf numFmtId="0" fontId="17" fillId="0" borderId="0" xfId="0" applyFont="1" applyAlignment="1"/>
    <xf numFmtId="0" fontId="13" fillId="0" borderId="1" xfId="0" applyFont="1" applyBorder="1" applyAlignment="1">
      <alignment vertical="center" shrinkToFit="1"/>
    </xf>
    <xf numFmtId="0" fontId="13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4" fontId="12" fillId="2" borderId="0" xfId="0" applyNumberFormat="1" applyFont="1" applyFill="1" applyAlignment="1">
      <alignment horizontal="center" vertical="center" wrapText="1"/>
    </xf>
    <xf numFmtId="0" fontId="17" fillId="0" borderId="1" xfId="0" applyFont="1" applyBorder="1" applyAlignment="1"/>
    <xf numFmtId="4" fontId="12" fillId="0" borderId="0" xfId="0" applyNumberFormat="1" applyFont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165" fontId="12" fillId="0" borderId="1" xfId="68" applyFont="1" applyBorder="1" applyAlignment="1">
      <alignment vertical="center"/>
    </xf>
    <xf numFmtId="165" fontId="12" fillId="0" borderId="1" xfId="68" applyFont="1" applyBorder="1" applyAlignment="1">
      <alignment horizontal="center" vertical="center"/>
    </xf>
    <xf numFmtId="165" fontId="13" fillId="0" borderId="1" xfId="68" applyFont="1" applyBorder="1" applyAlignment="1">
      <alignment vertical="center"/>
    </xf>
    <xf numFmtId="168" fontId="12" fillId="0" borderId="1" xfId="68" applyNumberFormat="1" applyFont="1" applyBorder="1" applyAlignment="1">
      <alignment horizontal="center" vertical="center"/>
    </xf>
    <xf numFmtId="165" fontId="12" fillId="0" borderId="0" xfId="68" applyFont="1" applyAlignment="1">
      <alignment vertical="center"/>
    </xf>
    <xf numFmtId="0" fontId="12" fillId="0" borderId="1" xfId="0" applyFont="1" applyFill="1" applyBorder="1" applyAlignment="1">
      <alignment vertical="center" shrinkToFit="1"/>
    </xf>
    <xf numFmtId="4" fontId="12" fillId="0" borderId="1" xfId="0" applyNumberFormat="1" applyFont="1" applyFill="1" applyBorder="1" applyAlignment="1">
      <alignment horizontal="center" vertical="center" shrinkToFit="1"/>
    </xf>
    <xf numFmtId="165" fontId="12" fillId="0" borderId="1" xfId="68" applyFont="1" applyFill="1" applyBorder="1" applyAlignment="1">
      <alignment vertical="center"/>
    </xf>
    <xf numFmtId="0" fontId="17" fillId="0" borderId="0" xfId="0" applyFont="1" applyFill="1" applyAlignment="1"/>
    <xf numFmtId="0" fontId="12" fillId="0" borderId="1" xfId="0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 shrinkToFit="1"/>
    </xf>
    <xf numFmtId="4" fontId="13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 shrinkToFit="1"/>
    </xf>
    <xf numFmtId="168" fontId="12" fillId="0" borderId="1" xfId="68" applyNumberFormat="1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center" vertical="center" wrapText="1" shrinkToFit="1"/>
    </xf>
    <xf numFmtId="0" fontId="19" fillId="2" borderId="1" xfId="0" applyFont="1" applyFill="1" applyBorder="1" applyAlignment="1">
      <alignment vertical="center" shrinkToFit="1"/>
    </xf>
    <xf numFmtId="168" fontId="12" fillId="0" borderId="1" xfId="68" applyNumberFormat="1" applyFont="1" applyBorder="1" applyAlignment="1">
      <alignment vertical="center"/>
    </xf>
    <xf numFmtId="49" fontId="13" fillId="2" borderId="2" xfId="0" applyNumberFormat="1" applyFont="1" applyFill="1" applyBorder="1" applyAlignment="1">
      <alignment horizontal="center" vertical="center" wrapText="1" shrinkToFi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shrinkToFit="1"/>
    </xf>
    <xf numFmtId="0" fontId="8" fillId="0" borderId="1" xfId="0" applyFont="1" applyFill="1" applyBorder="1" applyAlignment="1">
      <alignment vertical="center" shrinkToFit="1"/>
    </xf>
    <xf numFmtId="0" fontId="12" fillId="2" borderId="1" xfId="0" applyFont="1" applyFill="1" applyBorder="1" applyAlignment="1">
      <alignment horizontal="center" vertical="center" wrapText="1" shrinkToFit="1"/>
    </xf>
    <xf numFmtId="0" fontId="12" fillId="6" borderId="1" xfId="0" applyFont="1" applyFill="1" applyBorder="1" applyAlignment="1">
      <alignment vertical="center" shrinkToFit="1"/>
    </xf>
    <xf numFmtId="4" fontId="12" fillId="6" borderId="1" xfId="0" applyNumberFormat="1" applyFont="1" applyFill="1" applyBorder="1" applyAlignment="1">
      <alignment horizontal="center" vertical="center" shrinkToFit="1"/>
    </xf>
    <xf numFmtId="0" fontId="17" fillId="6" borderId="0" xfId="0" applyFont="1" applyFill="1" applyAlignment="1"/>
    <xf numFmtId="2" fontId="12" fillId="0" borderId="1" xfId="68" applyNumberFormat="1" applyFont="1" applyBorder="1" applyAlignment="1">
      <alignment horizontal="center" vertical="center"/>
    </xf>
    <xf numFmtId="4" fontId="12" fillId="0" borderId="0" xfId="0" applyNumberFormat="1" applyFont="1" applyAlignment="1"/>
    <xf numFmtId="4" fontId="12" fillId="0" borderId="0" xfId="0" applyNumberFormat="1" applyFont="1" applyAlignment="1">
      <alignment vertical="center"/>
    </xf>
    <xf numFmtId="0" fontId="20" fillId="0" borderId="0" xfId="0" applyFont="1"/>
    <xf numFmtId="0" fontId="21" fillId="0" borderId="0" xfId="0" applyFont="1"/>
    <xf numFmtId="4" fontId="22" fillId="0" borderId="0" xfId="0" applyNumberFormat="1" applyFont="1" applyAlignment="1">
      <alignment vertical="center"/>
    </xf>
    <xf numFmtId="4" fontId="13" fillId="2" borderId="0" xfId="0" applyNumberFormat="1" applyFont="1" applyFill="1" applyBorder="1" applyAlignment="1">
      <alignment horizontal="center" vertical="center" shrinkToFit="1"/>
    </xf>
    <xf numFmtId="4" fontId="12" fillId="2" borderId="0" xfId="0" applyNumberFormat="1" applyFont="1" applyFill="1" applyBorder="1" applyAlignment="1">
      <alignment horizontal="center" vertical="center" shrinkToFi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Alignment="1"/>
    <xf numFmtId="4" fontId="13" fillId="0" borderId="0" xfId="0" applyNumberFormat="1" applyFont="1" applyAlignment="1">
      <alignment vertical="center"/>
    </xf>
    <xf numFmtId="4" fontId="13" fillId="0" borderId="0" xfId="0" applyNumberFormat="1" applyFont="1" applyAlignment="1">
      <alignment horizontal="right" vertical="center"/>
    </xf>
    <xf numFmtId="4" fontId="12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center" vertical="center"/>
    </xf>
    <xf numFmtId="168" fontId="12" fillId="6" borderId="1" xfId="68" applyNumberFormat="1" applyFont="1" applyFill="1" applyBorder="1" applyAlignment="1">
      <alignment horizontal="center" vertical="center"/>
    </xf>
    <xf numFmtId="4" fontId="12" fillId="0" borderId="0" xfId="0" applyNumberFormat="1" applyFont="1" applyFill="1" applyAlignment="1">
      <alignment vertical="center"/>
    </xf>
    <xf numFmtId="0" fontId="17" fillId="7" borderId="0" xfId="0" applyFont="1" applyFill="1"/>
    <xf numFmtId="0" fontId="12" fillId="6" borderId="1" xfId="0" applyFont="1" applyFill="1" applyBorder="1" applyAlignment="1">
      <alignment horizontal="center" vertical="center" shrinkToFit="1"/>
    </xf>
    <xf numFmtId="0" fontId="32" fillId="0" borderId="0" xfId="13" applyNumberFormat="1" applyFont="1" applyFill="1" applyProtection="1">
      <alignment horizontal="center"/>
    </xf>
    <xf numFmtId="4" fontId="12" fillId="7" borderId="0" xfId="0" applyNumberFormat="1" applyFont="1" applyFill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shrinkToFit="1"/>
    </xf>
    <xf numFmtId="4" fontId="12" fillId="7" borderId="1" xfId="0" applyNumberFormat="1" applyFont="1" applyFill="1" applyBorder="1" applyAlignment="1">
      <alignment horizontal="center" vertical="center" shrinkToFit="1"/>
    </xf>
    <xf numFmtId="165" fontId="12" fillId="0" borderId="1" xfId="68" applyFont="1" applyFill="1" applyBorder="1" applyAlignment="1">
      <alignment horizontal="center" vertical="center"/>
    </xf>
    <xf numFmtId="0" fontId="33" fillId="0" borderId="0" xfId="0" applyFont="1" applyAlignment="1">
      <alignment horizontal="left" vertical="center" wrapText="1"/>
    </xf>
    <xf numFmtId="165" fontId="12" fillId="0" borderId="0" xfId="68" applyFont="1" applyAlignment="1">
      <alignment horizontal="left" vertical="center"/>
    </xf>
    <xf numFmtId="0" fontId="29" fillId="0" borderId="0" xfId="9" applyNumberFormat="1" applyFont="1" applyFill="1" applyProtection="1"/>
    <xf numFmtId="0" fontId="29" fillId="0" borderId="16" xfId="25" applyNumberFormat="1" applyFont="1" applyFill="1" applyProtection="1">
      <alignment horizontal="center" vertical="center" shrinkToFit="1"/>
    </xf>
    <xf numFmtId="0" fontId="9" fillId="0" borderId="0" xfId="56" applyFont="1" applyFill="1"/>
    <xf numFmtId="0" fontId="8" fillId="0" borderId="0" xfId="0" applyFont="1" applyFill="1"/>
    <xf numFmtId="0" fontId="1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4" fillId="0" borderId="0" xfId="0" applyFont="1"/>
    <xf numFmtId="49" fontId="35" fillId="0" borderId="2" xfId="0" applyNumberFormat="1" applyFont="1" applyFill="1" applyBorder="1" applyAlignment="1">
      <alignment horizontal="center" vertical="center"/>
    </xf>
    <xf numFmtId="4" fontId="10" fillId="0" borderId="1" xfId="69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shrinkToFit="1"/>
    </xf>
    <xf numFmtId="0" fontId="36" fillId="0" borderId="0" xfId="0" applyFont="1"/>
    <xf numFmtId="49" fontId="9" fillId="0" borderId="1" xfId="0" applyNumberFormat="1" applyFont="1" applyFill="1" applyBorder="1" applyAlignment="1">
      <alignment horizontal="center" vertical="center"/>
    </xf>
    <xf numFmtId="4" fontId="13" fillId="0" borderId="1" xfId="69" applyNumberFormat="1" applyFont="1" applyFill="1" applyBorder="1" applyAlignment="1">
      <alignment horizontal="center" vertical="center" shrinkToFit="1"/>
    </xf>
    <xf numFmtId="4" fontId="12" fillId="0" borderId="1" xfId="69" applyNumberFormat="1" applyFont="1" applyFill="1" applyBorder="1" applyAlignment="1">
      <alignment horizontal="center" vertical="center" shrinkToFit="1"/>
    </xf>
    <xf numFmtId="4" fontId="12" fillId="0" borderId="1" xfId="0" applyNumberFormat="1" applyFont="1" applyFill="1" applyBorder="1" applyAlignment="1">
      <alignment horizontal="center" vertical="center"/>
    </xf>
    <xf numFmtId="49" fontId="8" fillId="0" borderId="1" xfId="60" applyNumberFormat="1" applyFont="1" applyFill="1" applyBorder="1" applyAlignment="1">
      <alignment horizontal="center" vertical="center"/>
    </xf>
    <xf numFmtId="4" fontId="13" fillId="0" borderId="1" xfId="60" applyNumberFormat="1" applyFont="1" applyFill="1" applyBorder="1" applyAlignment="1">
      <alignment horizontal="center" vertical="center"/>
    </xf>
    <xf numFmtId="0" fontId="3" fillId="0" borderId="0" xfId="0" applyFont="1" applyBorder="1"/>
    <xf numFmtId="49" fontId="9" fillId="0" borderId="1" xfId="60" applyNumberFormat="1" applyFont="1" applyBorder="1" applyAlignment="1">
      <alignment horizontal="center" vertical="center"/>
    </xf>
    <xf numFmtId="49" fontId="9" fillId="0" borderId="5" xfId="60" applyNumberFormat="1" applyFont="1" applyBorder="1" applyAlignment="1">
      <alignment vertical="center"/>
    </xf>
    <xf numFmtId="4" fontId="12" fillId="0" borderId="1" xfId="60" applyNumberFormat="1" applyFont="1" applyFill="1" applyBorder="1" applyAlignment="1">
      <alignment horizontal="center" vertical="center" shrinkToFit="1"/>
    </xf>
    <xf numFmtId="4" fontId="12" fillId="6" borderId="1" xfId="60" applyNumberFormat="1" applyFont="1" applyFill="1" applyBorder="1" applyAlignment="1">
      <alignment horizontal="center" vertical="center" shrinkToFit="1"/>
    </xf>
    <xf numFmtId="49" fontId="38" fillId="0" borderId="5" xfId="60" applyNumberFormat="1" applyFont="1" applyBorder="1" applyAlignment="1">
      <alignment vertical="center"/>
    </xf>
    <xf numFmtId="4" fontId="39" fillId="0" borderId="1" xfId="60" applyNumberFormat="1" applyFont="1" applyFill="1" applyBorder="1" applyAlignment="1">
      <alignment horizontal="center" vertical="center" shrinkToFit="1"/>
    </xf>
    <xf numFmtId="0" fontId="0" fillId="0" borderId="2" xfId="0" applyBorder="1"/>
    <xf numFmtId="49" fontId="34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9" fillId="0" borderId="0" xfId="0" applyNumberFormat="1" applyFont="1"/>
    <xf numFmtId="0" fontId="34" fillId="0" borderId="0" xfId="60" applyFont="1"/>
    <xf numFmtId="0" fontId="3" fillId="0" borderId="0" xfId="60" applyFont="1"/>
    <xf numFmtId="0" fontId="3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40" fillId="0" borderId="0" xfId="0" applyFont="1" applyFill="1"/>
    <xf numFmtId="49" fontId="12" fillId="0" borderId="1" xfId="0" applyNumberFormat="1" applyFont="1" applyFill="1" applyBorder="1" applyAlignment="1">
      <alignment horizontal="center" vertical="center" shrinkToFit="1"/>
    </xf>
    <xf numFmtId="0" fontId="41" fillId="0" borderId="0" xfId="0" applyFont="1" applyFill="1"/>
    <xf numFmtId="49" fontId="13" fillId="0" borderId="1" xfId="60" applyNumberFormat="1" applyFont="1" applyFill="1" applyBorder="1" applyAlignment="1">
      <alignment horizontal="center" vertical="center" shrinkToFit="1"/>
    </xf>
    <xf numFmtId="49" fontId="12" fillId="0" borderId="1" xfId="60" applyNumberFormat="1" applyFont="1" applyFill="1" applyBorder="1" applyAlignment="1">
      <alignment horizontal="center" vertical="center" shrinkToFit="1"/>
    </xf>
    <xf numFmtId="0" fontId="37" fillId="0" borderId="0" xfId="0" applyFont="1" applyFill="1" applyBorder="1"/>
    <xf numFmtId="4" fontId="39" fillId="0" borderId="1" xfId="69" applyNumberFormat="1" applyFont="1" applyFill="1" applyBorder="1" applyAlignment="1">
      <alignment horizontal="center" vertical="center" shrinkToFit="1"/>
    </xf>
    <xf numFmtId="49" fontId="12" fillId="0" borderId="1" xfId="6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17" fillId="0" borderId="0" xfId="0" applyFont="1" applyFill="1" applyAlignment="1">
      <alignment horizontal="left"/>
    </xf>
    <xf numFmtId="165" fontId="17" fillId="0" borderId="0" xfId="69" applyFont="1" applyFill="1" applyAlignment="1">
      <alignment horizontal="center"/>
    </xf>
    <xf numFmtId="0" fontId="17" fillId="0" borderId="0" xfId="60" applyFont="1" applyFill="1"/>
    <xf numFmtId="0" fontId="17" fillId="0" borderId="0" xfId="60" applyFont="1" applyFill="1" applyAlignment="1">
      <alignment horizontal="center"/>
    </xf>
    <xf numFmtId="0" fontId="17" fillId="0" borderId="0" xfId="60" applyFont="1" applyFill="1" applyAlignment="1">
      <alignment horizontal="left"/>
    </xf>
    <xf numFmtId="49" fontId="13" fillId="2" borderId="2" xfId="0" applyNumberFormat="1" applyFont="1" applyFill="1" applyBorder="1" applyAlignment="1">
      <alignment horizontal="left" vertical="top" wrapText="1" shrinkToFit="1"/>
    </xf>
    <xf numFmtId="49" fontId="12" fillId="2" borderId="2" xfId="0" applyNumberFormat="1" applyFont="1" applyFill="1" applyBorder="1" applyAlignment="1">
      <alignment horizontal="left" vertical="top" wrapText="1" shrinkToFit="1"/>
    </xf>
    <xf numFmtId="0" fontId="13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 shrinkToFi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7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12" fillId="6" borderId="1" xfId="0" applyFont="1" applyFill="1" applyBorder="1" applyAlignment="1">
      <alignment horizontal="left" vertical="top" wrapText="1"/>
    </xf>
    <xf numFmtId="49" fontId="12" fillId="2" borderId="2" xfId="0" applyNumberFormat="1" applyFont="1" applyFill="1" applyBorder="1" applyAlignment="1">
      <alignment horizontal="center" vertical="center" wrapText="1" shrinkToFit="1"/>
    </xf>
    <xf numFmtId="0" fontId="0" fillId="0" borderId="2" xfId="0" applyBorder="1"/>
    <xf numFmtId="49" fontId="13" fillId="0" borderId="6" xfId="60" applyNumberFormat="1" applyFont="1" applyBorder="1" applyAlignment="1">
      <alignment vertical="top"/>
    </xf>
    <xf numFmtId="0" fontId="0" fillId="0" borderId="8" xfId="0" applyBorder="1" applyAlignment="1"/>
    <xf numFmtId="0" fontId="0" fillId="0" borderId="2" xfId="0" applyBorder="1" applyAlignment="1"/>
    <xf numFmtId="0" fontId="13" fillId="0" borderId="1" xfId="0" applyFont="1" applyFill="1" applyBorder="1" applyAlignment="1">
      <alignment horizontal="left" vertical="top" wrapText="1"/>
    </xf>
    <xf numFmtId="4" fontId="17" fillId="0" borderId="0" xfId="0" applyNumberFormat="1" applyFont="1" applyAlignment="1"/>
    <xf numFmtId="0" fontId="42" fillId="0" borderId="0" xfId="9" applyNumberFormat="1" applyFont="1" applyFill="1" applyProtection="1"/>
    <xf numFmtId="0" fontId="12" fillId="0" borderId="0" xfId="0" applyFont="1" applyFill="1" applyProtection="1">
      <protection locked="0"/>
    </xf>
    <xf numFmtId="0" fontId="42" fillId="0" borderId="18" xfId="23" applyNumberFormat="1" applyFont="1" applyFill="1" applyProtection="1"/>
    <xf numFmtId="0" fontId="42" fillId="0" borderId="16" xfId="25" applyNumberFormat="1" applyFont="1" applyFill="1" applyProtection="1">
      <alignment horizontal="center" vertical="center" shrinkToFit="1"/>
    </xf>
    <xf numFmtId="4" fontId="42" fillId="0" borderId="16" xfId="81" applyNumberFormat="1" applyFont="1" applyFill="1" applyProtection="1">
      <alignment horizontal="right" vertical="top" shrinkToFit="1"/>
    </xf>
    <xf numFmtId="0" fontId="13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" fontId="32" fillId="0" borderId="16" xfId="83" applyNumberFormat="1" applyFont="1" applyFill="1" applyProtection="1">
      <alignment horizontal="right" vertical="top" shrinkToFit="1"/>
    </xf>
    <xf numFmtId="0" fontId="9" fillId="0" borderId="1" xfId="0" applyFont="1" applyFill="1" applyBorder="1" applyAlignment="1">
      <alignment vertical="center" wrapText="1" shrinkToFit="1"/>
    </xf>
    <xf numFmtId="0" fontId="20" fillId="0" borderId="0" xfId="0" applyFont="1" applyFill="1" applyAlignment="1"/>
    <xf numFmtId="4" fontId="13" fillId="0" borderId="0" xfId="0" applyNumberFormat="1" applyFont="1" applyFill="1" applyAlignment="1">
      <alignment vertical="center"/>
    </xf>
    <xf numFmtId="4" fontId="13" fillId="0" borderId="0" xfId="0" applyNumberFormat="1" applyFont="1" applyFill="1" applyAlignment="1">
      <alignment horizontal="center" vertical="center"/>
    </xf>
    <xf numFmtId="0" fontId="42" fillId="0" borderId="0" xfId="15" applyNumberFormat="1" applyFont="1" applyFill="1" applyProtection="1">
      <alignment wrapText="1"/>
    </xf>
    <xf numFmtId="0" fontId="42" fillId="0" borderId="0" xfId="17" applyNumberFormat="1" applyFont="1" applyFill="1" applyProtection="1">
      <alignment horizontal="right"/>
    </xf>
    <xf numFmtId="0" fontId="29" fillId="0" borderId="0" xfId="15" applyNumberFormat="1" applyFont="1" applyFill="1" applyProtection="1">
      <alignment wrapText="1"/>
    </xf>
    <xf numFmtId="0" fontId="29" fillId="0" borderId="0" xfId="17" applyNumberFormat="1" applyFont="1" applyFill="1" applyProtection="1">
      <alignment horizontal="right"/>
    </xf>
    <xf numFmtId="0" fontId="12" fillId="0" borderId="0" xfId="0" applyFont="1" applyAlignment="1">
      <alignment horizontal="right" vertical="top" wrapText="1"/>
    </xf>
    <xf numFmtId="49" fontId="12" fillId="2" borderId="1" xfId="0" applyNumberFormat="1" applyFont="1" applyFill="1" applyBorder="1" applyAlignment="1">
      <alignment horizontal="center" vertical="center" wrapText="1" shrinkToFit="1"/>
    </xf>
    <xf numFmtId="49" fontId="12" fillId="2" borderId="6" xfId="0" applyNumberFormat="1" applyFont="1" applyFill="1" applyBorder="1" applyAlignment="1">
      <alignment horizontal="center" vertical="center" wrapText="1" shrinkToFit="1"/>
    </xf>
    <xf numFmtId="49" fontId="12" fillId="2" borderId="2" xfId="0" applyNumberFormat="1" applyFont="1" applyFill="1" applyBorder="1" applyAlignment="1">
      <alignment horizontal="center" vertical="center" wrapText="1" shrinkToFit="1"/>
    </xf>
    <xf numFmtId="0" fontId="13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right" vertical="center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wrapText="1"/>
    </xf>
    <xf numFmtId="0" fontId="12" fillId="2" borderId="9" xfId="0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49" fontId="12" fillId="2" borderId="8" xfId="0" applyNumberFormat="1" applyFont="1" applyFill="1" applyBorder="1" applyAlignment="1">
      <alignment horizontal="center" vertical="center" wrapText="1" shrinkToFit="1"/>
    </xf>
    <xf numFmtId="0" fontId="13" fillId="2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5" fillId="0" borderId="4" xfId="67" applyFont="1" applyFill="1" applyBorder="1" applyAlignment="1">
      <alignment horizontal="left" vertical="center" wrapText="1"/>
    </xf>
    <xf numFmtId="0" fontId="15" fillId="0" borderId="7" xfId="67" applyFont="1" applyFill="1" applyBorder="1" applyAlignment="1">
      <alignment horizontal="left" vertical="center" wrapText="1"/>
    </xf>
    <xf numFmtId="0" fontId="8" fillId="0" borderId="6" xfId="67" applyFont="1" applyFill="1" applyBorder="1" applyAlignment="1">
      <alignment horizontal="center" vertical="center"/>
    </xf>
    <xf numFmtId="0" fontId="8" fillId="0" borderId="2" xfId="67" applyFont="1" applyFill="1" applyBorder="1" applyAlignment="1">
      <alignment horizontal="center" vertical="center"/>
    </xf>
    <xf numFmtId="0" fontId="14" fillId="0" borderId="4" xfId="67" applyFont="1" applyFill="1" applyBorder="1" applyAlignment="1">
      <alignment horizontal="left" vertical="center" wrapText="1"/>
    </xf>
    <xf numFmtId="0" fontId="14" fillId="0" borderId="7" xfId="67" applyFont="1" applyFill="1" applyBorder="1" applyAlignment="1">
      <alignment horizontal="left" vertical="center" wrapText="1"/>
    </xf>
    <xf numFmtId="0" fontId="14" fillId="0" borderId="1" xfId="67" applyFont="1" applyFill="1" applyBorder="1" applyAlignment="1">
      <alignment horizontal="left" vertical="center" wrapText="1"/>
    </xf>
    <xf numFmtId="0" fontId="15" fillId="0" borderId="1" xfId="67" applyFont="1" applyFill="1" applyBorder="1" applyAlignment="1">
      <alignment horizontal="left" vertical="center" wrapText="1"/>
    </xf>
    <xf numFmtId="0" fontId="8" fillId="0" borderId="1" xfId="67" applyFont="1" applyFill="1" applyBorder="1" applyAlignment="1">
      <alignment horizontal="center" vertical="center"/>
    </xf>
    <xf numFmtId="0" fontId="14" fillId="0" borderId="1" xfId="67" applyFont="1" applyFill="1" applyBorder="1" applyAlignment="1">
      <alignment horizontal="left" vertical="center"/>
    </xf>
    <xf numFmtId="0" fontId="31" fillId="0" borderId="1" xfId="67" applyFont="1" applyFill="1" applyBorder="1" applyAlignment="1">
      <alignment horizontal="left" vertical="center" wrapText="1"/>
    </xf>
    <xf numFmtId="0" fontId="31" fillId="0" borderId="1" xfId="67" applyFont="1" applyFill="1" applyBorder="1" applyAlignment="1">
      <alignment horizontal="left" vertical="center"/>
    </xf>
    <xf numFmtId="0" fontId="15" fillId="0" borderId="10" xfId="67" applyFont="1" applyFill="1" applyBorder="1" applyAlignment="1">
      <alignment horizontal="center" vertical="center" wrapText="1"/>
    </xf>
    <xf numFmtId="0" fontId="15" fillId="0" borderId="11" xfId="67" applyFont="1" applyFill="1" applyBorder="1" applyAlignment="1">
      <alignment horizontal="center" vertical="center" wrapText="1"/>
    </xf>
    <xf numFmtId="0" fontId="14" fillId="0" borderId="1" xfId="67" applyFont="1" applyBorder="1" applyAlignment="1">
      <alignment horizontal="left" vertical="center"/>
    </xf>
    <xf numFmtId="0" fontId="14" fillId="0" borderId="1" xfId="67" applyFont="1" applyBorder="1" applyAlignment="1">
      <alignment horizontal="left" vertical="center" wrapText="1"/>
    </xf>
    <xf numFmtId="0" fontId="15" fillId="0" borderId="3" xfId="67" applyFont="1" applyFill="1" applyBorder="1" applyAlignment="1">
      <alignment horizontal="center" vertical="center" wrapText="1"/>
    </xf>
    <xf numFmtId="0" fontId="15" fillId="0" borderId="12" xfId="67" applyFont="1" applyFill="1" applyBorder="1" applyAlignment="1">
      <alignment horizontal="center" vertical="center" wrapText="1"/>
    </xf>
    <xf numFmtId="0" fontId="15" fillId="0" borderId="1" xfId="67" applyFont="1" applyBorder="1" applyAlignment="1">
      <alignment horizontal="left" vertical="center" wrapText="1"/>
    </xf>
    <xf numFmtId="0" fontId="8" fillId="0" borderId="8" xfId="67" applyFont="1" applyFill="1" applyBorder="1" applyAlignment="1">
      <alignment horizontal="center" vertical="center"/>
    </xf>
    <xf numFmtId="0" fontId="13" fillId="0" borderId="0" xfId="67" applyFont="1" applyAlignment="1">
      <alignment horizontal="center"/>
    </xf>
    <xf numFmtId="0" fontId="15" fillId="0" borderId="1" xfId="67" applyFont="1" applyFill="1" applyBorder="1" applyAlignment="1">
      <alignment horizontal="left" vertical="center"/>
    </xf>
    <xf numFmtId="0" fontId="15" fillId="0" borderId="10" xfId="67" applyFont="1" applyFill="1" applyBorder="1" applyAlignment="1">
      <alignment horizontal="left" vertical="center" wrapText="1"/>
    </xf>
    <xf numFmtId="0" fontId="15" fillId="0" borderId="11" xfId="67" applyFont="1" applyFill="1" applyBorder="1" applyAlignment="1">
      <alignment horizontal="left" vertical="center" wrapText="1"/>
    </xf>
    <xf numFmtId="0" fontId="15" fillId="0" borderId="3" xfId="67" applyFont="1" applyFill="1" applyBorder="1" applyAlignment="1">
      <alignment horizontal="left" vertical="center" wrapText="1"/>
    </xf>
    <xf numFmtId="0" fontId="15" fillId="0" borderId="12" xfId="67" applyFont="1" applyFill="1" applyBorder="1" applyAlignment="1">
      <alignment horizontal="left" vertical="center" wrapText="1"/>
    </xf>
    <xf numFmtId="0" fontId="15" fillId="0" borderId="4" xfId="67" applyFont="1" applyBorder="1" applyAlignment="1">
      <alignment horizontal="left" vertical="center" wrapText="1"/>
    </xf>
    <xf numFmtId="0" fontId="15" fillId="0" borderId="7" xfId="67" applyFont="1" applyBorder="1" applyAlignment="1">
      <alignment horizontal="left" vertical="center" wrapText="1"/>
    </xf>
    <xf numFmtId="0" fontId="8" fillId="0" borderId="1" xfId="67" applyFont="1" applyBorder="1" applyAlignment="1">
      <alignment horizontal="left" vertical="center" wrapText="1"/>
    </xf>
    <xf numFmtId="0" fontId="8" fillId="0" borderId="1" xfId="67" applyFont="1" applyBorder="1" applyAlignment="1">
      <alignment horizontal="left" vertical="center"/>
    </xf>
    <xf numFmtId="49" fontId="9" fillId="0" borderId="2" xfId="66" applyNumberFormat="1" applyFont="1" applyFill="1" applyBorder="1" applyAlignment="1">
      <alignment horizontal="center" vertical="center" wrapText="1"/>
    </xf>
    <xf numFmtId="49" fontId="9" fillId="0" borderId="2" xfId="66" applyNumberFormat="1" applyFont="1" applyFill="1" applyBorder="1" applyAlignment="1">
      <alignment horizontal="center" vertical="center"/>
    </xf>
    <xf numFmtId="0" fontId="9" fillId="0" borderId="6" xfId="66" applyFont="1" applyFill="1" applyBorder="1" applyAlignment="1">
      <alignment horizontal="center" wrapText="1"/>
    </xf>
    <xf numFmtId="0" fontId="9" fillId="0" borderId="2" xfId="66" applyFont="1" applyFill="1" applyBorder="1" applyAlignment="1">
      <alignment horizontal="center"/>
    </xf>
    <xf numFmtId="0" fontId="9" fillId="0" borderId="10" xfId="66" applyFont="1" applyFill="1" applyBorder="1" applyAlignment="1">
      <alignment horizontal="center" vertical="center" wrapText="1"/>
    </xf>
    <xf numFmtId="0" fontId="9" fillId="0" borderId="13" xfId="66" applyFont="1" applyFill="1" applyBorder="1" applyAlignment="1">
      <alignment horizontal="center" vertical="center" wrapText="1"/>
    </xf>
    <xf numFmtId="0" fontId="9" fillId="0" borderId="11" xfId="66" applyFont="1" applyFill="1" applyBorder="1" applyAlignment="1">
      <alignment horizontal="center" vertical="center" wrapText="1"/>
    </xf>
    <xf numFmtId="0" fontId="9" fillId="0" borderId="3" xfId="66" applyFont="1" applyFill="1" applyBorder="1" applyAlignment="1">
      <alignment horizontal="center" vertical="center" wrapText="1"/>
    </xf>
    <xf numFmtId="0" fontId="9" fillId="0" borderId="9" xfId="66" applyFont="1" applyFill="1" applyBorder="1" applyAlignment="1">
      <alignment horizontal="center" vertical="center" wrapText="1"/>
    </xf>
    <xf numFmtId="0" fontId="9" fillId="0" borderId="12" xfId="66" applyFont="1" applyFill="1" applyBorder="1" applyAlignment="1">
      <alignment horizontal="center" vertical="center" wrapText="1"/>
    </xf>
    <xf numFmtId="0" fontId="10" fillId="0" borderId="1" xfId="66" applyFont="1" applyBorder="1" applyAlignment="1">
      <alignment horizontal="center"/>
    </xf>
    <xf numFmtId="0" fontId="9" fillId="0" borderId="0" xfId="66" applyFont="1" applyBorder="1" applyAlignment="1">
      <alignment horizontal="center" vertical="center" wrapText="1"/>
    </xf>
    <xf numFmtId="0" fontId="9" fillId="0" borderId="14" xfId="66" applyFont="1" applyBorder="1" applyAlignment="1">
      <alignment horizontal="center" vertical="center" wrapText="1"/>
    </xf>
    <xf numFmtId="0" fontId="9" fillId="0" borderId="1" xfId="66" applyFont="1" applyBorder="1" applyAlignment="1">
      <alignment horizontal="center" vertical="center" wrapText="1"/>
    </xf>
    <xf numFmtId="0" fontId="9" fillId="0" borderId="4" xfId="66" applyFont="1" applyFill="1" applyBorder="1" applyAlignment="1">
      <alignment horizontal="left" wrapText="1"/>
    </xf>
    <xf numFmtId="0" fontId="9" fillId="0" borderId="5" xfId="66" applyFont="1" applyFill="1" applyBorder="1" applyAlignment="1">
      <alignment horizontal="left" wrapText="1"/>
    </xf>
    <xf numFmtId="0" fontId="9" fillId="0" borderId="7" xfId="66" applyFont="1" applyFill="1" applyBorder="1" applyAlignment="1">
      <alignment horizontal="left" wrapText="1"/>
    </xf>
    <xf numFmtId="0" fontId="13" fillId="0" borderId="4" xfId="66" applyFont="1" applyFill="1" applyBorder="1" applyAlignment="1">
      <alignment horizontal="left" vertical="center"/>
    </xf>
    <xf numFmtId="0" fontId="13" fillId="0" borderId="5" xfId="66" applyFont="1" applyFill="1" applyBorder="1" applyAlignment="1">
      <alignment horizontal="left" vertical="center"/>
    </xf>
    <xf numFmtId="0" fontId="13" fillId="0" borderId="7" xfId="66" applyFont="1" applyFill="1" applyBorder="1" applyAlignment="1">
      <alignment horizontal="left" vertical="center"/>
    </xf>
    <xf numFmtId="49" fontId="9" fillId="0" borderId="4" xfId="66" applyNumberFormat="1" applyFont="1" applyBorder="1" applyAlignment="1">
      <alignment vertical="center" wrapText="1"/>
    </xf>
    <xf numFmtId="49" fontId="9" fillId="0" borderId="7" xfId="66" applyNumberFormat="1" applyFont="1" applyBorder="1" applyAlignment="1">
      <alignment vertical="center"/>
    </xf>
    <xf numFmtId="0" fontId="10" fillId="0" borderId="0" xfId="66" applyFont="1" applyFill="1" applyAlignment="1">
      <alignment horizontal="left" wrapText="1"/>
    </xf>
    <xf numFmtId="0" fontId="10" fillId="0" borderId="0" xfId="66" applyFont="1" applyFill="1" applyAlignment="1">
      <alignment horizontal="left"/>
    </xf>
    <xf numFmtId="0" fontId="9" fillId="0" borderId="1" xfId="66" applyFont="1" applyFill="1" applyBorder="1" applyAlignment="1">
      <alignment horizontal="center" wrapText="1"/>
    </xf>
    <xf numFmtId="0" fontId="9" fillId="0" borderId="1" xfId="66" applyFont="1" applyFill="1" applyBorder="1" applyAlignment="1">
      <alignment horizontal="center"/>
    </xf>
    <xf numFmtId="0" fontId="10" fillId="0" borderId="0" xfId="66" applyFont="1" applyBorder="1" applyAlignment="1">
      <alignment horizontal="left" wrapText="1"/>
    </xf>
    <xf numFmtId="0" fontId="10" fillId="0" borderId="0" xfId="66" applyFont="1" applyBorder="1" applyAlignment="1">
      <alignment horizontal="left"/>
    </xf>
    <xf numFmtId="0" fontId="9" fillId="0" borderId="6" xfId="66" applyFont="1" applyBorder="1" applyAlignment="1">
      <alignment horizontal="center" vertical="center" wrapText="1"/>
    </xf>
    <xf numFmtId="0" fontId="9" fillId="0" borderId="2" xfId="66" applyFont="1" applyBorder="1" applyAlignment="1">
      <alignment horizontal="center" vertical="center" wrapText="1"/>
    </xf>
    <xf numFmtId="0" fontId="9" fillId="0" borderId="0" xfId="66" applyFont="1" applyFill="1" applyAlignment="1">
      <alignment horizontal="left" wrapText="1"/>
    </xf>
    <xf numFmtId="0" fontId="9" fillId="0" borderId="0" xfId="66" applyFont="1" applyFill="1" applyAlignment="1">
      <alignment horizontal="left"/>
    </xf>
    <xf numFmtId="0" fontId="10" fillId="0" borderId="0" xfId="66" applyFont="1" applyAlignment="1">
      <alignment horizontal="center" wrapText="1"/>
    </xf>
    <xf numFmtId="0" fontId="10" fillId="0" borderId="0" xfId="66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textRotation="90" wrapText="1" readingOrder="1"/>
    </xf>
    <xf numFmtId="0" fontId="8" fillId="0" borderId="2" xfId="0" applyFont="1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12" fillId="6" borderId="0" xfId="0" applyFont="1" applyFill="1" applyAlignment="1">
      <alignment horizontal="right" wrapText="1"/>
    </xf>
    <xf numFmtId="0" fontId="13" fillId="0" borderId="0" xfId="0" applyFont="1" applyAlignment="1">
      <alignment horizontal="center" vertical="center" wrapText="1"/>
    </xf>
    <xf numFmtId="0" fontId="34" fillId="0" borderId="9" xfId="0" applyFont="1" applyBorder="1" applyAlignment="1">
      <alignment horizontal="right"/>
    </xf>
    <xf numFmtId="49" fontId="13" fillId="0" borderId="6" xfId="0" applyNumberFormat="1" applyFont="1" applyFill="1" applyBorder="1" applyAlignment="1">
      <alignment horizontal="center" vertical="top"/>
    </xf>
    <xf numFmtId="49" fontId="13" fillId="0" borderId="8" xfId="0" applyNumberFormat="1" applyFont="1" applyFill="1" applyBorder="1" applyAlignment="1">
      <alignment horizontal="center" vertical="top"/>
    </xf>
    <xf numFmtId="49" fontId="13" fillId="0" borderId="2" xfId="0" applyNumberFormat="1" applyFont="1" applyFill="1" applyBorder="1" applyAlignment="1">
      <alignment horizontal="center" vertical="top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9" fillId="0" borderId="5" xfId="0" applyNumberFormat="1" applyFont="1" applyBorder="1" applyAlignment="1">
      <alignment vertical="center" wrapText="1"/>
    </xf>
    <xf numFmtId="49" fontId="9" fillId="0" borderId="7" xfId="0" applyNumberFormat="1" applyFont="1" applyBorder="1" applyAlignment="1">
      <alignment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vertical="center" wrapText="1"/>
    </xf>
    <xf numFmtId="49" fontId="9" fillId="0" borderId="5" xfId="0" applyNumberFormat="1" applyFont="1" applyFill="1" applyBorder="1" applyAlignment="1">
      <alignment vertical="center" wrapText="1"/>
    </xf>
    <xf numFmtId="49" fontId="9" fillId="0" borderId="7" xfId="0" applyNumberFormat="1" applyFont="1" applyFill="1" applyBorder="1" applyAlignment="1">
      <alignment vertical="center" wrapText="1"/>
    </xf>
    <xf numFmtId="49" fontId="38" fillId="0" borderId="4" xfId="60" applyNumberFormat="1" applyFont="1" applyFill="1" applyBorder="1" applyAlignment="1">
      <alignment horizontal="left" vertical="center" wrapText="1"/>
    </xf>
    <xf numFmtId="49" fontId="38" fillId="0" borderId="5" xfId="6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3" fillId="0" borderId="1" xfId="60" applyNumberFormat="1" applyFont="1" applyFill="1" applyBorder="1" applyAlignment="1">
      <alignment horizontal="center" vertical="center" wrapText="1"/>
    </xf>
    <xf numFmtId="49" fontId="9" fillId="0" borderId="4" xfId="60" applyNumberFormat="1" applyFont="1" applyFill="1" applyBorder="1" applyAlignment="1">
      <alignment horizontal="left" vertical="center" wrapText="1"/>
    </xf>
    <xf numFmtId="49" fontId="9" fillId="0" borderId="5" xfId="60" applyNumberFormat="1" applyFont="1" applyFill="1" applyBorder="1" applyAlignment="1">
      <alignment horizontal="left" vertical="center" wrapText="1"/>
    </xf>
    <xf numFmtId="0" fontId="9" fillId="0" borderId="4" xfId="60" applyNumberFormat="1" applyFont="1" applyFill="1" applyBorder="1" applyAlignment="1">
      <alignment horizontal="left" vertical="center" wrapText="1"/>
    </xf>
    <xf numFmtId="0" fontId="9" fillId="0" borderId="5" xfId="60" applyNumberFormat="1" applyFont="1" applyFill="1" applyBorder="1" applyAlignment="1">
      <alignment horizontal="left" vertical="center" wrapText="1"/>
    </xf>
    <xf numFmtId="0" fontId="32" fillId="0" borderId="0" xfId="55" applyNumberFormat="1" applyFont="1" applyFill="1" applyAlignment="1">
      <alignment horizontal="center" vertical="center" wrapText="1"/>
    </xf>
    <xf numFmtId="0" fontId="42" fillId="0" borderId="0" xfId="15" applyNumberFormat="1" applyFont="1" applyFill="1" applyProtection="1">
      <alignment wrapText="1"/>
    </xf>
    <xf numFmtId="0" fontId="42" fillId="0" borderId="0" xfId="15" applyFont="1" applyFill="1">
      <alignment wrapText="1"/>
    </xf>
    <xf numFmtId="0" fontId="42" fillId="0" borderId="0" xfId="17" applyNumberFormat="1" applyFont="1" applyFill="1" applyProtection="1">
      <alignment horizontal="right"/>
    </xf>
    <xf numFmtId="0" fontId="42" fillId="0" borderId="0" xfId="17" applyFont="1" applyFill="1">
      <alignment horizontal="right"/>
    </xf>
    <xf numFmtId="0" fontId="42" fillId="0" borderId="16" xfId="21" applyNumberFormat="1" applyFont="1" applyFill="1" applyProtection="1">
      <alignment horizontal="center" vertical="center" wrapText="1"/>
    </xf>
    <xf numFmtId="0" fontId="42" fillId="0" borderId="16" xfId="21" applyFont="1" applyFill="1">
      <alignment horizontal="center" vertical="center" wrapText="1"/>
    </xf>
    <xf numFmtId="0" fontId="29" fillId="0" borderId="0" xfId="15" applyNumberFormat="1" applyFont="1" applyFill="1" applyProtection="1">
      <alignment wrapText="1"/>
    </xf>
    <xf numFmtId="0" fontId="29" fillId="0" borderId="0" xfId="15" applyFont="1" applyFill="1">
      <alignment wrapText="1"/>
    </xf>
    <xf numFmtId="0" fontId="29" fillId="0" borderId="0" xfId="17" applyNumberFormat="1" applyFont="1" applyFill="1" applyProtection="1">
      <alignment horizontal="right"/>
    </xf>
    <xf numFmtId="0" fontId="29" fillId="0" borderId="0" xfId="17" applyFont="1" applyFill="1">
      <alignment horizontal="right"/>
    </xf>
    <xf numFmtId="0" fontId="29" fillId="0" borderId="16" xfId="21" applyNumberFormat="1" applyFont="1" applyFill="1" applyProtection="1">
      <alignment horizontal="center" vertical="center" wrapText="1"/>
    </xf>
    <xf numFmtId="0" fontId="29" fillId="0" borderId="16" xfId="21" applyFont="1" applyFill="1">
      <alignment horizontal="center" vertical="center" wrapText="1"/>
    </xf>
    <xf numFmtId="0" fontId="12" fillId="0" borderId="0" xfId="0" applyFont="1" applyFill="1" applyAlignment="1">
      <alignment horizontal="right" wrapText="1"/>
    </xf>
    <xf numFmtId="0" fontId="13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right"/>
    </xf>
    <xf numFmtId="0" fontId="12" fillId="0" borderId="1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0" fontId="13" fillId="0" borderId="1" xfId="60" applyFont="1" applyFill="1" applyBorder="1" applyAlignment="1">
      <alignment horizontal="left" vertical="center" wrapText="1"/>
    </xf>
    <xf numFmtId="0" fontId="13" fillId="0" borderId="1" xfId="60" applyFont="1" applyFill="1" applyBorder="1" applyAlignment="1">
      <alignment horizontal="left" vertical="center"/>
    </xf>
    <xf numFmtId="49" fontId="9" fillId="0" borderId="1" xfId="60" applyNumberFormat="1" applyFont="1" applyFill="1" applyBorder="1" applyAlignment="1">
      <alignment horizontal="left" vertical="center" wrapText="1"/>
    </xf>
    <xf numFmtId="49" fontId="38" fillId="0" borderId="7" xfId="60" applyNumberFormat="1" applyFont="1" applyFill="1" applyBorder="1" applyAlignment="1">
      <alignment horizontal="left" vertical="center" wrapText="1"/>
    </xf>
    <xf numFmtId="0" fontId="9" fillId="0" borderId="1" xfId="60" applyNumberFormat="1" applyFont="1" applyFill="1" applyBorder="1" applyAlignment="1">
      <alignment horizontal="left" vertical="center" wrapText="1"/>
    </xf>
    <xf numFmtId="0" fontId="13" fillId="0" borderId="1" xfId="60" applyNumberFormat="1" applyFont="1" applyFill="1" applyBorder="1" applyAlignment="1">
      <alignment horizontal="left" vertical="center" wrapText="1"/>
    </xf>
    <xf numFmtId="0" fontId="13" fillId="0" borderId="1" xfId="60" applyNumberFormat="1" applyFont="1" applyFill="1" applyBorder="1" applyAlignment="1">
      <alignment horizontal="left" vertical="center"/>
    </xf>
    <xf numFmtId="0" fontId="12" fillId="0" borderId="0" xfId="0" applyFont="1" applyFill="1" applyAlignment="1">
      <alignment horizontal="right" vertical="top" wrapText="1"/>
    </xf>
    <xf numFmtId="0" fontId="42" fillId="0" borderId="16" xfId="80" quotePrefix="1" applyNumberFormat="1" applyFont="1" applyFill="1" applyProtection="1">
      <alignment horizontal="left" vertical="top" wrapText="1"/>
    </xf>
    <xf numFmtId="0" fontId="42" fillId="0" borderId="16" xfId="80" applyNumberFormat="1" applyFont="1" applyFill="1" applyProtection="1">
      <alignment horizontal="left" vertical="top" wrapText="1"/>
    </xf>
    <xf numFmtId="0" fontId="32" fillId="0" borderId="23" xfId="82" applyNumberFormat="1" applyFont="1" applyFill="1" applyProtection="1">
      <alignment horizontal="left"/>
    </xf>
    <xf numFmtId="4" fontId="46" fillId="0" borderId="16" xfId="83" applyNumberFormat="1" applyFont="1" applyFill="1" applyAlignment="1" applyProtection="1">
      <alignment horizontal="right" vertical="top" shrinkToFit="1"/>
    </xf>
  </cellXfs>
  <cellStyles count="93">
    <cellStyle name="br" xfId="1"/>
    <cellStyle name="col" xfId="2"/>
    <cellStyle name="style0" xfId="3"/>
    <cellStyle name="style0 2" xfId="86"/>
    <cellStyle name="td" xfId="4"/>
    <cellStyle name="td 2" xfId="87"/>
    <cellStyle name="tr" xfId="5"/>
    <cellStyle name="xl21" xfId="6"/>
    <cellStyle name="xl21 2" xfId="88"/>
    <cellStyle name="xl22" xfId="7"/>
    <cellStyle name="xl22 2" xfId="8"/>
    <cellStyle name="xl22 3" xfId="78"/>
    <cellStyle name="xl23" xfId="9"/>
    <cellStyle name="xl23 2" xfId="10"/>
    <cellStyle name="xl23 3" xfId="79"/>
    <cellStyle name="xl24" xfId="11"/>
    <cellStyle name="xl24 2" xfId="12"/>
    <cellStyle name="xl24 3" xfId="82"/>
    <cellStyle name="xl25" xfId="13"/>
    <cellStyle name="xl25 2" xfId="14"/>
    <cellStyle name="xl25 3" xfId="84"/>
    <cellStyle name="xl26" xfId="15"/>
    <cellStyle name="xl26 2" xfId="16"/>
    <cellStyle name="xl26 3" xfId="72"/>
    <cellStyle name="xl27" xfId="17"/>
    <cellStyle name="xl27 2" xfId="18"/>
    <cellStyle name="xl27 3" xfId="74"/>
    <cellStyle name="xl28" xfId="19"/>
    <cellStyle name="xl28 2" xfId="20"/>
    <cellStyle name="xl28 3" xfId="75"/>
    <cellStyle name="xl29" xfId="21"/>
    <cellStyle name="xl29 2" xfId="22"/>
    <cellStyle name="xl29 3" xfId="76"/>
    <cellStyle name="xl30" xfId="23"/>
    <cellStyle name="xl30 2" xfId="24"/>
    <cellStyle name="xl30 3" xfId="77"/>
    <cellStyle name="xl31" xfId="25"/>
    <cellStyle name="xl31 2" xfId="26"/>
    <cellStyle name="xl31 3" xfId="83"/>
    <cellStyle name="xl32" xfId="27"/>
    <cellStyle name="xl32 2" xfId="28"/>
    <cellStyle name="xl32 3" xfId="73"/>
    <cellStyle name="xl33" xfId="29"/>
    <cellStyle name="xl33 2" xfId="30"/>
    <cellStyle name="xl33 3" xfId="85"/>
    <cellStyle name="xl34" xfId="31"/>
    <cellStyle name="xl34 2" xfId="32"/>
    <cellStyle name="xl34 3" xfId="80"/>
    <cellStyle name="xl35" xfId="33"/>
    <cellStyle name="xl35 2" xfId="34"/>
    <cellStyle name="xl35 3" xfId="89"/>
    <cellStyle name="xl36" xfId="35"/>
    <cellStyle name="xl36 2" xfId="36"/>
    <cellStyle name="xl36 3" xfId="81"/>
    <cellStyle name="xl37" xfId="37"/>
    <cellStyle name="xl37 2" xfId="38"/>
    <cellStyle name="xl37 3" xfId="90"/>
    <cellStyle name="xl38" xfId="39"/>
    <cellStyle name="xl38 2" xfId="40"/>
    <cellStyle name="xl38 3" xfId="70"/>
    <cellStyle name="xl38 4" xfId="91"/>
    <cellStyle name="xl39" xfId="41"/>
    <cellStyle name="xl39 2" xfId="42"/>
    <cellStyle name="xl39 3" xfId="92"/>
    <cellStyle name="xl40" xfId="43"/>
    <cellStyle name="xl40 2" xfId="44"/>
    <cellStyle name="xl41" xfId="45"/>
    <cellStyle name="xl41 2" xfId="46"/>
    <cellStyle name="xl42" xfId="47"/>
    <cellStyle name="xl42 2" xfId="48"/>
    <cellStyle name="xl43" xfId="49"/>
    <cellStyle name="xl43 2" xfId="50"/>
    <cellStyle name="xl43 3" xfId="71"/>
    <cellStyle name="xl44" xfId="51"/>
    <cellStyle name="xl45" xfId="52"/>
    <cellStyle name="xl46" xfId="53"/>
    <cellStyle name="xl47" xfId="54"/>
    <cellStyle name="Обычный" xfId="0" builtinId="0"/>
    <cellStyle name="Обычный 10" xfId="55"/>
    <cellStyle name="Обычный 11" xfId="56"/>
    <cellStyle name="Обычный 2" xfId="57"/>
    <cellStyle name="Обычный 3" xfId="58"/>
    <cellStyle name="Обычный 4" xfId="59"/>
    <cellStyle name="Обычный 4 2" xfId="60"/>
    <cellStyle name="Обычный 5" xfId="61"/>
    <cellStyle name="Обычный 6" xfId="62"/>
    <cellStyle name="Обычный 7" xfId="63"/>
    <cellStyle name="Обычный 8" xfId="64"/>
    <cellStyle name="Обычный 9" xfId="65"/>
    <cellStyle name="Обычный_Лист1" xfId="66"/>
    <cellStyle name="Обычный_Приложение" xfId="67"/>
    <cellStyle name="Финансовый" xfId="68" builtinId="3"/>
    <cellStyle name="Финансовый 2" xfId="6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/2019%20&#1075;&#1086;&#1076;/!&#1048;&#1079;&#1084;&#1077;&#1085;&#1077;&#1085;&#1080;&#1103;%20&#1074;%20&#1073;&#1102;&#1076;&#1078;&#1077;&#1090;%202019/1.%20&#1071;&#1085;&#1074;&#1072;&#1088;&#1100;%202019/&#1055;&#1088;&#1086;&#1077;&#1082;&#1090;%20&#1073;&#1102;&#1076;&#1078;&#1077;&#1090;&#1072;%20&#1080;&#1079;&#1084;&#1077;&#1085;&#1077;&#1085;&#1080;&#1103;%20&#1103;&#1085;&#1074;&#1072;&#1088;&#1100;%202019/&#1055;&#1088;&#1080;&#1083;&#1086;&#1078;&#1077;&#1085;&#1080;&#1103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№1"/>
      <sheetName val="пр№2 "/>
      <sheetName val="пр № 7"/>
      <sheetName val="пр №3 "/>
      <sheetName val="ПР № 12"/>
      <sheetName val="пр № 4"/>
      <sheetName val="пр №5"/>
      <sheetName val="пр№ 6"/>
      <sheetName val="пр№7"/>
    </sheetNames>
    <sheetDataSet>
      <sheetData sheetId="0"/>
      <sheetData sheetId="1"/>
      <sheetData sheetId="2"/>
      <sheetData sheetId="3">
        <row r="18">
          <cell r="H18">
            <v>154000</v>
          </cell>
          <cell r="I18">
            <v>246000</v>
          </cell>
          <cell r="J18">
            <v>236000</v>
          </cell>
        </row>
        <row r="19">
          <cell r="H19">
            <v>-124000</v>
          </cell>
          <cell r="I19">
            <v>-246000</v>
          </cell>
          <cell r="J19">
            <v>-246000</v>
          </cell>
        </row>
        <row r="22">
          <cell r="I22">
            <v>0</v>
          </cell>
          <cell r="J22">
            <v>0</v>
          </cell>
        </row>
        <row r="26">
          <cell r="I26">
            <v>0</v>
          </cell>
          <cell r="J26">
            <v>0</v>
          </cell>
        </row>
        <row r="27">
          <cell r="I27">
            <v>0</v>
          </cell>
          <cell r="J27">
            <v>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</sheetPr>
  <dimension ref="A1:M152"/>
  <sheetViews>
    <sheetView view="pageLayout" topLeftCell="A124" zoomScaleNormal="100" zoomScaleSheetLayoutView="100" workbookViewId="0">
      <selection sqref="A1:E1"/>
    </sheetView>
  </sheetViews>
  <sheetFormatPr defaultRowHeight="15.75"/>
  <cols>
    <col min="1" max="1" width="16.21875" style="49" customWidth="1"/>
    <col min="2" max="2" width="51.44140625" style="56" customWidth="1"/>
    <col min="3" max="3" width="13.21875" style="50" customWidth="1"/>
    <col min="4" max="4" width="14.44140625" style="46" customWidth="1"/>
    <col min="5" max="5" width="14.6640625" style="46" customWidth="1"/>
    <col min="6" max="6" width="13.33203125" style="46" customWidth="1"/>
    <col min="7" max="7" width="11.21875" style="46" customWidth="1"/>
    <col min="8" max="8" width="12.5546875" style="46" customWidth="1"/>
    <col min="9" max="16384" width="8.88671875" style="46"/>
  </cols>
  <sheetData>
    <row r="1" spans="1:8" ht="138" customHeight="1">
      <c r="A1" s="209" t="s">
        <v>1377</v>
      </c>
      <c r="B1" s="209"/>
      <c r="C1" s="209"/>
      <c r="D1" s="209"/>
      <c r="E1" s="209"/>
    </row>
    <row r="2" spans="1:8" s="1" customFormat="1" ht="128.25" customHeight="1">
      <c r="A2" s="209" t="s">
        <v>1242</v>
      </c>
      <c r="B2" s="209"/>
      <c r="C2" s="209"/>
      <c r="D2" s="209"/>
      <c r="E2" s="209"/>
    </row>
    <row r="3" spans="1:8" ht="66" customHeight="1">
      <c r="A3" s="213" t="s">
        <v>931</v>
      </c>
      <c r="B3" s="213"/>
      <c r="C3" s="213"/>
      <c r="D3" s="213"/>
      <c r="E3" s="213"/>
    </row>
    <row r="4" spans="1:8" ht="30" customHeight="1">
      <c r="A4" s="214" t="s">
        <v>2</v>
      </c>
      <c r="B4" s="214"/>
      <c r="C4" s="214"/>
      <c r="D4" s="214"/>
      <c r="E4" s="214"/>
    </row>
    <row r="5" spans="1:8" ht="27.75" customHeight="1">
      <c r="A5" s="210" t="s">
        <v>42</v>
      </c>
      <c r="B5" s="211" t="s">
        <v>62</v>
      </c>
      <c r="C5" s="215" t="s">
        <v>456</v>
      </c>
      <c r="D5" s="216"/>
      <c r="E5" s="217"/>
    </row>
    <row r="6" spans="1:8" ht="51" customHeight="1">
      <c r="A6" s="210"/>
      <c r="B6" s="212"/>
      <c r="C6" s="72" t="s">
        <v>457</v>
      </c>
      <c r="D6" s="121" t="s">
        <v>846</v>
      </c>
      <c r="E6" s="121" t="s">
        <v>933</v>
      </c>
    </row>
    <row r="7" spans="1:8" s="64" customFormat="1">
      <c r="A7" s="47" t="s">
        <v>158</v>
      </c>
      <c r="B7" s="178" t="s">
        <v>3</v>
      </c>
      <c r="C7" s="44">
        <f>368249.7-8000+4000+782.4+4000-5000+324.8+310.7+161.1+100+32.4+271.6+35+1207.3+2268.9+1500+682.7+3500+1500+1244.9-1585.3</f>
        <v>375586.20000000007</v>
      </c>
      <c r="D7" s="44">
        <f>375700.5-8000-1417.6+2783.8-80</f>
        <v>368986.7</v>
      </c>
      <c r="E7" s="44">
        <f>356394.4-8000-1417.6+6318.4-75</f>
        <v>353220.20000000007</v>
      </c>
      <c r="F7" s="109">
        <f>C8+C14+C20+C27+C33+C38+C48+C59+C67+C71+C79+C107</f>
        <v>375586.19999999995</v>
      </c>
      <c r="G7" s="109">
        <f>D8+D14+D20+D27+D33+D38+D48+D59+D67+D71+D79+D107</f>
        <v>368986.69999999995</v>
      </c>
      <c r="H7" s="109">
        <f>E8+E14+E20+E27+E33+E38+E48+E59+E67+E71+E79+E107</f>
        <v>353220.19999999995</v>
      </c>
    </row>
    <row r="8" spans="1:8" s="64" customFormat="1">
      <c r="A8" s="47" t="s">
        <v>159</v>
      </c>
      <c r="B8" s="178" t="s">
        <v>7</v>
      </c>
      <c r="C8" s="44">
        <f>C9</f>
        <v>150200</v>
      </c>
      <c r="D8" s="44">
        <f t="shared" ref="D8:E8" si="0">D9</f>
        <v>155400</v>
      </c>
      <c r="E8" s="44">
        <f t="shared" si="0"/>
        <v>158100</v>
      </c>
      <c r="F8" s="109">
        <f>C10+C11+C12+C13</f>
        <v>150200</v>
      </c>
      <c r="G8" s="109">
        <f>D10+D11+D12+D13</f>
        <v>155400</v>
      </c>
      <c r="H8" s="109">
        <f>E10+E11+E12+E13</f>
        <v>158100</v>
      </c>
    </row>
    <row r="9" spans="1:8" s="64" customFormat="1" ht="26.25" customHeight="1">
      <c r="A9" s="48" t="s">
        <v>160</v>
      </c>
      <c r="B9" s="179" t="s">
        <v>161</v>
      </c>
      <c r="C9" s="45">
        <f>150200</f>
        <v>150200</v>
      </c>
      <c r="D9" s="74">
        <f>155400</f>
        <v>155400</v>
      </c>
      <c r="E9" s="74">
        <f>158100</f>
        <v>158100</v>
      </c>
      <c r="F9" s="101">
        <f>C11+C12+C13+C10</f>
        <v>150200</v>
      </c>
      <c r="G9" s="101">
        <f>D11+D12+D13+D10</f>
        <v>155400</v>
      </c>
      <c r="H9" s="101">
        <f>E11+E12+E13+E10</f>
        <v>158100</v>
      </c>
    </row>
    <row r="10" spans="1:8" s="64" customFormat="1" ht="91.5" customHeight="1">
      <c r="A10" s="48" t="s">
        <v>125</v>
      </c>
      <c r="B10" s="181" t="s">
        <v>217</v>
      </c>
      <c r="C10" s="45">
        <v>147500</v>
      </c>
      <c r="D10" s="74">
        <v>152500</v>
      </c>
      <c r="E10" s="74">
        <v>155000</v>
      </c>
    </row>
    <row r="11" spans="1:8" s="64" customFormat="1" ht="119.25" customHeight="1">
      <c r="A11" s="48" t="s">
        <v>218</v>
      </c>
      <c r="B11" s="181" t="s">
        <v>219</v>
      </c>
      <c r="C11" s="45">
        <f>1625-456.6</f>
        <v>1168.4000000000001</v>
      </c>
      <c r="D11" s="74">
        <v>1750</v>
      </c>
      <c r="E11" s="74">
        <v>1875</v>
      </c>
    </row>
    <row r="12" spans="1:8" s="64" customFormat="1" ht="57" customHeight="1">
      <c r="A12" s="63" t="s">
        <v>243</v>
      </c>
      <c r="B12" s="181" t="s">
        <v>244</v>
      </c>
      <c r="C12" s="45">
        <f>700+456.6</f>
        <v>1156.5999999999999</v>
      </c>
      <c r="D12" s="74">
        <v>750</v>
      </c>
      <c r="E12" s="74">
        <v>800</v>
      </c>
    </row>
    <row r="13" spans="1:8" s="64" customFormat="1" ht="100.5" customHeight="1">
      <c r="A13" s="48" t="s">
        <v>245</v>
      </c>
      <c r="B13" s="181" t="s">
        <v>686</v>
      </c>
      <c r="C13" s="45">
        <v>375</v>
      </c>
      <c r="D13" s="74">
        <v>400</v>
      </c>
      <c r="E13" s="74">
        <v>425</v>
      </c>
    </row>
    <row r="14" spans="1:8" s="64" customFormat="1" ht="59.25" customHeight="1">
      <c r="A14" s="65" t="s">
        <v>246</v>
      </c>
      <c r="B14" s="178" t="s">
        <v>247</v>
      </c>
      <c r="C14" s="44">
        <f>C15</f>
        <v>7247.6</v>
      </c>
      <c r="D14" s="44">
        <f t="shared" ref="D14:E14" si="1">D15</f>
        <v>9131.4000000000015</v>
      </c>
      <c r="E14" s="44">
        <f t="shared" si="1"/>
        <v>12666</v>
      </c>
      <c r="F14" s="106">
        <f>C16+C17+C18+C19</f>
        <v>7247.6</v>
      </c>
      <c r="G14" s="106">
        <f>D16+D17+D18+D19</f>
        <v>9131.4</v>
      </c>
      <c r="H14" s="106">
        <f>E16+E17+E18+E19</f>
        <v>12666</v>
      </c>
    </row>
    <row r="15" spans="1:8" s="64" customFormat="1" ht="55.5" customHeight="1">
      <c r="A15" s="48" t="s">
        <v>248</v>
      </c>
      <c r="B15" s="179" t="s">
        <v>249</v>
      </c>
      <c r="C15" s="45">
        <f>6347.6+900</f>
        <v>7247.6</v>
      </c>
      <c r="D15" s="74">
        <f>6347.6+2783.8</f>
        <v>9131.4000000000015</v>
      </c>
      <c r="E15" s="74">
        <f>6347.6+6318.4</f>
        <v>12666</v>
      </c>
      <c r="F15" s="107">
        <f>C16+C17+C18+C19</f>
        <v>7247.6</v>
      </c>
      <c r="G15" s="107">
        <f>D16+D17+D18+D19</f>
        <v>9131.4</v>
      </c>
      <c r="H15" s="107">
        <f>E16+E17+E18+E19</f>
        <v>12666</v>
      </c>
    </row>
    <row r="16" spans="1:8" s="64" customFormat="1" ht="113.25" customHeight="1">
      <c r="A16" s="48" t="s">
        <v>1251</v>
      </c>
      <c r="B16" s="179" t="s">
        <v>1252</v>
      </c>
      <c r="C16" s="45">
        <f>2187.4+1100</f>
        <v>3287.4</v>
      </c>
      <c r="D16" s="45">
        <f>2187.4+1121.5</f>
        <v>3308.9</v>
      </c>
      <c r="E16" s="45">
        <f>2187.4+2393.4</f>
        <v>4580.8</v>
      </c>
    </row>
    <row r="17" spans="1:8" s="64" customFormat="1" ht="129.75" customHeight="1">
      <c r="A17" s="48" t="s">
        <v>1253</v>
      </c>
      <c r="B17" s="179" t="s">
        <v>1254</v>
      </c>
      <c r="C17" s="45">
        <v>18.8</v>
      </c>
      <c r="D17" s="45">
        <f>18.8+3.1</f>
        <v>21.900000000000002</v>
      </c>
      <c r="E17" s="45">
        <f>18.8+10.5</f>
        <v>29.3</v>
      </c>
    </row>
    <row r="18" spans="1:8" s="64" customFormat="1" ht="116.25" customHeight="1">
      <c r="A18" s="48" t="s">
        <v>1255</v>
      </c>
      <c r="B18" s="179" t="s">
        <v>1256</v>
      </c>
      <c r="C18" s="45">
        <v>4560.8999999999996</v>
      </c>
      <c r="D18" s="45">
        <f>4560.9+1855.2</f>
        <v>6416.0999999999995</v>
      </c>
      <c r="E18" s="45">
        <f>4560.9+4324.5</f>
        <v>8885.4</v>
      </c>
    </row>
    <row r="19" spans="1:8" s="64" customFormat="1" ht="111.75" customHeight="1">
      <c r="A19" s="48" t="s">
        <v>1257</v>
      </c>
      <c r="B19" s="179" t="s">
        <v>1258</v>
      </c>
      <c r="C19" s="45">
        <f>-419.5-200</f>
        <v>-619.5</v>
      </c>
      <c r="D19" s="45">
        <f>-419.5-196</f>
        <v>-615.5</v>
      </c>
      <c r="E19" s="45">
        <f>-419.5-410</f>
        <v>-829.5</v>
      </c>
    </row>
    <row r="20" spans="1:8" s="64" customFormat="1" ht="32.25" customHeight="1">
      <c r="A20" s="47" t="s">
        <v>162</v>
      </c>
      <c r="B20" s="178" t="s">
        <v>8</v>
      </c>
      <c r="C20" s="44">
        <f>46520-791.9+782.4-523.2+32.4-1134.7</f>
        <v>44885.000000000007</v>
      </c>
      <c r="D20" s="44">
        <v>48023</v>
      </c>
      <c r="E20" s="44">
        <v>27425</v>
      </c>
      <c r="F20" s="108">
        <f>C21+C23+C25</f>
        <v>44885.000000000007</v>
      </c>
      <c r="G20" s="108">
        <f>D21+D23+D25</f>
        <v>48023</v>
      </c>
      <c r="H20" s="108">
        <f>E21+E23+E25</f>
        <v>27425</v>
      </c>
    </row>
    <row r="21" spans="1:8" s="64" customFormat="1" ht="38.25" customHeight="1">
      <c r="A21" s="48" t="s">
        <v>9</v>
      </c>
      <c r="B21" s="179" t="s">
        <v>20</v>
      </c>
      <c r="C21" s="45">
        <f>C22</f>
        <v>35050.200000000004</v>
      </c>
      <c r="D21" s="45">
        <f t="shared" ref="D21:E21" si="2">D22</f>
        <v>38000</v>
      </c>
      <c r="E21" s="45">
        <f t="shared" si="2"/>
        <v>9400</v>
      </c>
    </row>
    <row r="22" spans="1:8" s="64" customFormat="1" ht="36" customHeight="1">
      <c r="A22" s="48" t="s">
        <v>21</v>
      </c>
      <c r="B22" s="179" t="s">
        <v>20</v>
      </c>
      <c r="C22" s="45">
        <f>37500-791.9-523.2-1134.7</f>
        <v>35050.200000000004</v>
      </c>
      <c r="D22" s="74">
        <v>38000</v>
      </c>
      <c r="E22" s="74">
        <v>9400</v>
      </c>
    </row>
    <row r="23" spans="1:8" s="64" customFormat="1" ht="21" customHeight="1">
      <c r="A23" s="48" t="s">
        <v>10</v>
      </c>
      <c r="B23" s="179" t="s">
        <v>22</v>
      </c>
      <c r="C23" s="45">
        <f>20+32.4</f>
        <v>52.4</v>
      </c>
      <c r="D23" s="74">
        <f>23</f>
        <v>23</v>
      </c>
      <c r="E23" s="74">
        <f>25</f>
        <v>25</v>
      </c>
    </row>
    <row r="24" spans="1:8" s="64" customFormat="1" ht="25.5" customHeight="1">
      <c r="A24" s="48" t="s">
        <v>23</v>
      </c>
      <c r="B24" s="179" t="s">
        <v>22</v>
      </c>
      <c r="C24" s="45">
        <f>20+32.4</f>
        <v>52.4</v>
      </c>
      <c r="D24" s="74">
        <f>23</f>
        <v>23</v>
      </c>
      <c r="E24" s="74">
        <f>25</f>
        <v>25</v>
      </c>
    </row>
    <row r="25" spans="1:8" s="64" customFormat="1" ht="42.75" customHeight="1">
      <c r="A25" s="63" t="s">
        <v>250</v>
      </c>
      <c r="B25" s="179" t="s">
        <v>252</v>
      </c>
      <c r="C25" s="45">
        <f>9000+782.4</f>
        <v>9782.4</v>
      </c>
      <c r="D25" s="74">
        <f>10000</f>
        <v>10000</v>
      </c>
      <c r="E25" s="74">
        <f>18000</f>
        <v>18000</v>
      </c>
    </row>
    <row r="26" spans="1:8" s="64" customFormat="1" ht="45.75" customHeight="1">
      <c r="A26" s="48" t="s">
        <v>251</v>
      </c>
      <c r="B26" s="179" t="s">
        <v>253</v>
      </c>
      <c r="C26" s="45">
        <f>9000+782.4</f>
        <v>9782.4</v>
      </c>
      <c r="D26" s="74">
        <f>10000</f>
        <v>10000</v>
      </c>
      <c r="E26" s="74">
        <f>18000</f>
        <v>18000</v>
      </c>
    </row>
    <row r="27" spans="1:8" s="64" customFormat="1" ht="24.75" customHeight="1">
      <c r="A27" s="47" t="s">
        <v>163</v>
      </c>
      <c r="B27" s="178" t="s">
        <v>11</v>
      </c>
      <c r="C27" s="44">
        <f>96700</f>
        <v>96700</v>
      </c>
      <c r="D27" s="44">
        <f>98800</f>
        <v>98800</v>
      </c>
      <c r="E27" s="44">
        <f>99700</f>
        <v>99700</v>
      </c>
      <c r="F27" s="113">
        <f>C28+C30</f>
        <v>96700</v>
      </c>
      <c r="G27" s="113">
        <f>D28+D30</f>
        <v>98800</v>
      </c>
      <c r="H27" s="113">
        <f>E28+E30</f>
        <v>99700</v>
      </c>
    </row>
    <row r="28" spans="1:8" s="64" customFormat="1" ht="24" customHeight="1">
      <c r="A28" s="48" t="s">
        <v>164</v>
      </c>
      <c r="B28" s="179" t="s">
        <v>165</v>
      </c>
      <c r="C28" s="45">
        <f>C29</f>
        <v>12500</v>
      </c>
      <c r="D28" s="45">
        <f t="shared" ref="D28:E28" si="3">D29</f>
        <v>13500</v>
      </c>
      <c r="E28" s="45">
        <f t="shared" si="3"/>
        <v>13800</v>
      </c>
    </row>
    <row r="29" spans="1:8" s="64" customFormat="1" ht="48.75" customHeight="1">
      <c r="A29" s="48" t="s">
        <v>25</v>
      </c>
      <c r="B29" s="179" t="s">
        <v>24</v>
      </c>
      <c r="C29" s="45">
        <f>12500</f>
        <v>12500</v>
      </c>
      <c r="D29" s="74">
        <f>13500</f>
        <v>13500</v>
      </c>
      <c r="E29" s="74">
        <f>13800</f>
        <v>13800</v>
      </c>
    </row>
    <row r="30" spans="1:8" s="64" customFormat="1" ht="24.75" customHeight="1">
      <c r="A30" s="48" t="s">
        <v>166</v>
      </c>
      <c r="B30" s="179" t="s">
        <v>167</v>
      </c>
      <c r="C30" s="45">
        <f>84200</f>
        <v>84200</v>
      </c>
      <c r="D30" s="74">
        <f>85300</f>
        <v>85300</v>
      </c>
      <c r="E30" s="74">
        <f>85900</f>
        <v>85900</v>
      </c>
      <c r="F30" s="70">
        <f>C31+C32</f>
        <v>84200</v>
      </c>
      <c r="G30" s="70">
        <f>D31+D32</f>
        <v>85300</v>
      </c>
      <c r="H30" s="70">
        <f>E31+E32</f>
        <v>85900</v>
      </c>
    </row>
    <row r="31" spans="1:8" s="64" customFormat="1" ht="47.25" customHeight="1">
      <c r="A31" s="48" t="s">
        <v>297</v>
      </c>
      <c r="B31" s="179" t="s">
        <v>287</v>
      </c>
      <c r="C31" s="45">
        <f>65000</f>
        <v>65000</v>
      </c>
      <c r="D31" s="74">
        <f>66000</f>
        <v>66000</v>
      </c>
      <c r="E31" s="74">
        <f>66500</f>
        <v>66500</v>
      </c>
    </row>
    <row r="32" spans="1:8" s="64" customFormat="1" ht="52.5" customHeight="1">
      <c r="A32" s="48" t="s">
        <v>286</v>
      </c>
      <c r="B32" s="179" t="s">
        <v>288</v>
      </c>
      <c r="C32" s="45">
        <f>19200</f>
        <v>19200</v>
      </c>
      <c r="D32" s="74">
        <f>19300</f>
        <v>19300</v>
      </c>
      <c r="E32" s="74">
        <f>19400</f>
        <v>19400</v>
      </c>
    </row>
    <row r="33" spans="1:8" s="64" customFormat="1" ht="24" customHeight="1">
      <c r="A33" s="47" t="s">
        <v>168</v>
      </c>
      <c r="B33" s="178" t="s">
        <v>12</v>
      </c>
      <c r="C33" s="44">
        <f>7890+140</f>
        <v>8030</v>
      </c>
      <c r="D33" s="44">
        <f>7940</f>
        <v>7940</v>
      </c>
      <c r="E33" s="44">
        <f>8040</f>
        <v>8040</v>
      </c>
      <c r="F33" s="113">
        <f>C34+C36</f>
        <v>8030</v>
      </c>
      <c r="G33" s="113">
        <f>D34+D36</f>
        <v>7940</v>
      </c>
      <c r="H33" s="113">
        <f>E34+E36</f>
        <v>8040</v>
      </c>
    </row>
    <row r="34" spans="1:8" s="64" customFormat="1" ht="53.25" customHeight="1">
      <c r="A34" s="48" t="s">
        <v>169</v>
      </c>
      <c r="B34" s="179" t="s">
        <v>170</v>
      </c>
      <c r="C34" s="45">
        <f>C35</f>
        <v>7850</v>
      </c>
      <c r="D34" s="45">
        <f t="shared" ref="D34:E34" si="4">D35</f>
        <v>7900</v>
      </c>
      <c r="E34" s="45">
        <f t="shared" si="4"/>
        <v>8000</v>
      </c>
    </row>
    <row r="35" spans="1:8" s="64" customFormat="1" ht="63.75" customHeight="1">
      <c r="A35" s="48" t="s">
        <v>131</v>
      </c>
      <c r="B35" s="179" t="s">
        <v>26</v>
      </c>
      <c r="C35" s="45">
        <f>7850</f>
        <v>7850</v>
      </c>
      <c r="D35" s="74">
        <f>7900</f>
        <v>7900</v>
      </c>
      <c r="E35" s="74">
        <f>8000</f>
        <v>8000</v>
      </c>
    </row>
    <row r="36" spans="1:8" s="64" customFormat="1" ht="49.5" customHeight="1">
      <c r="A36" s="48" t="s">
        <v>171</v>
      </c>
      <c r="B36" s="179" t="s">
        <v>172</v>
      </c>
      <c r="C36" s="45">
        <f>C37</f>
        <v>180</v>
      </c>
      <c r="D36" s="45">
        <f t="shared" ref="D36:E36" si="5">D37</f>
        <v>40</v>
      </c>
      <c r="E36" s="45">
        <f t="shared" si="5"/>
        <v>40</v>
      </c>
    </row>
    <row r="37" spans="1:8" s="64" customFormat="1" ht="51.75" customHeight="1">
      <c r="A37" s="48" t="s">
        <v>145</v>
      </c>
      <c r="B37" s="179" t="s">
        <v>144</v>
      </c>
      <c r="C37" s="45">
        <f>40+140</f>
        <v>180</v>
      </c>
      <c r="D37" s="45">
        <f>40</f>
        <v>40</v>
      </c>
      <c r="E37" s="45">
        <f>40</f>
        <v>40</v>
      </c>
    </row>
    <row r="38" spans="1:8" s="64" customFormat="1" ht="51.75" hidden="1" customHeight="1">
      <c r="A38" s="47" t="s">
        <v>699</v>
      </c>
      <c r="B38" s="178" t="s">
        <v>700</v>
      </c>
      <c r="C38" s="44"/>
      <c r="D38" s="44"/>
      <c r="E38" s="44"/>
      <c r="F38" s="113">
        <f>C39+C41+C44+C46</f>
        <v>0</v>
      </c>
      <c r="G38" s="113">
        <f t="shared" ref="G38:H38" si="6">D39+D41+D44+D46</f>
        <v>0</v>
      </c>
      <c r="H38" s="113">
        <f t="shared" si="6"/>
        <v>0</v>
      </c>
    </row>
    <row r="39" spans="1:8" s="64" customFormat="1" ht="51.75" hidden="1" customHeight="1">
      <c r="A39" s="48" t="s">
        <v>701</v>
      </c>
      <c r="B39" s="179" t="s">
        <v>702</v>
      </c>
      <c r="C39" s="45"/>
      <c r="D39" s="45">
        <v>0</v>
      </c>
      <c r="E39" s="45">
        <v>0</v>
      </c>
    </row>
    <row r="40" spans="1:8" s="64" customFormat="1" ht="51.75" hidden="1" customHeight="1">
      <c r="A40" s="48" t="s">
        <v>695</v>
      </c>
      <c r="B40" s="179" t="s">
        <v>691</v>
      </c>
      <c r="C40" s="45"/>
      <c r="D40" s="45">
        <v>0</v>
      </c>
      <c r="E40" s="45">
        <v>0</v>
      </c>
    </row>
    <row r="41" spans="1:8" s="64" customFormat="1" ht="36.75" hidden="1" customHeight="1">
      <c r="A41" s="48" t="s">
        <v>703</v>
      </c>
      <c r="B41" s="179" t="s">
        <v>704</v>
      </c>
      <c r="C41" s="45"/>
      <c r="D41" s="45"/>
      <c r="E41" s="45"/>
    </row>
    <row r="42" spans="1:8" s="64" customFormat="1" ht="40.5" hidden="1" customHeight="1">
      <c r="A42" s="48" t="s">
        <v>696</v>
      </c>
      <c r="B42" s="179" t="s">
        <v>692</v>
      </c>
      <c r="C42" s="45"/>
      <c r="D42" s="45"/>
      <c r="E42" s="45"/>
    </row>
    <row r="43" spans="1:8" s="64" customFormat="1" ht="40.5" hidden="1" customHeight="1">
      <c r="A43" s="48" t="s">
        <v>911</v>
      </c>
      <c r="B43" s="179" t="s">
        <v>912</v>
      </c>
      <c r="C43" s="45"/>
      <c r="D43" s="45"/>
      <c r="E43" s="45"/>
    </row>
    <row r="44" spans="1:8" s="64" customFormat="1" ht="38.25" hidden="1" customHeight="1">
      <c r="A44" s="48" t="s">
        <v>705</v>
      </c>
      <c r="B44" s="179" t="s">
        <v>706</v>
      </c>
      <c r="C44" s="45"/>
      <c r="D44" s="45">
        <v>0</v>
      </c>
      <c r="E44" s="45">
        <v>0</v>
      </c>
    </row>
    <row r="45" spans="1:8" s="64" customFormat="1" ht="35.25" hidden="1" customHeight="1">
      <c r="A45" s="48" t="s">
        <v>697</v>
      </c>
      <c r="B45" s="179" t="s">
        <v>693</v>
      </c>
      <c r="C45" s="45"/>
      <c r="D45" s="45">
        <v>0</v>
      </c>
      <c r="E45" s="45">
        <v>0</v>
      </c>
    </row>
    <row r="46" spans="1:8" s="64" customFormat="1" ht="41.25" hidden="1" customHeight="1">
      <c r="A46" s="48" t="s">
        <v>707</v>
      </c>
      <c r="B46" s="179" t="s">
        <v>708</v>
      </c>
      <c r="C46" s="45"/>
      <c r="D46" s="45">
        <v>0</v>
      </c>
      <c r="E46" s="45">
        <v>0</v>
      </c>
    </row>
    <row r="47" spans="1:8" s="64" customFormat="1" ht="66.75" hidden="1" customHeight="1">
      <c r="A47" s="48" t="s">
        <v>698</v>
      </c>
      <c r="B47" s="179" t="s">
        <v>694</v>
      </c>
      <c r="C47" s="45"/>
      <c r="D47" s="45">
        <v>0</v>
      </c>
      <c r="E47" s="45">
        <v>0</v>
      </c>
    </row>
    <row r="48" spans="1:8" s="64" customFormat="1" ht="66.75" customHeight="1">
      <c r="A48" s="47" t="s">
        <v>173</v>
      </c>
      <c r="B48" s="178" t="s">
        <v>13</v>
      </c>
      <c r="C48" s="44">
        <f>39276.2-1000-41.5-558.5+1207.3</f>
        <v>38883.5</v>
      </c>
      <c r="D48" s="44">
        <f>37414.6</f>
        <v>37414.6</v>
      </c>
      <c r="E48" s="44">
        <f>34895.6</f>
        <v>34895.599999999999</v>
      </c>
      <c r="F48" s="111">
        <f>C49+C54+C57</f>
        <v>38883.5</v>
      </c>
      <c r="G48" s="111">
        <f>D49+D54+D57</f>
        <v>37414.6</v>
      </c>
      <c r="H48" s="111">
        <f>E49+E54+E57</f>
        <v>34895.599999999999</v>
      </c>
    </row>
    <row r="49" spans="1:8" s="64" customFormat="1" ht="94.5" customHeight="1">
      <c r="A49" s="48" t="s">
        <v>174</v>
      </c>
      <c r="B49" s="179" t="s">
        <v>14</v>
      </c>
      <c r="C49" s="45">
        <f>29000-41.5-558.5</f>
        <v>28400</v>
      </c>
      <c r="D49" s="45">
        <f>28500</f>
        <v>28500</v>
      </c>
      <c r="E49" s="45">
        <f>26000</f>
        <v>26000</v>
      </c>
      <c r="F49" s="112">
        <f>C50+C52</f>
        <v>28400</v>
      </c>
      <c r="G49" s="112">
        <f>D50+D52</f>
        <v>28500</v>
      </c>
      <c r="H49" s="112">
        <f>E50+E52</f>
        <v>26000</v>
      </c>
    </row>
    <row r="50" spans="1:8" s="64" customFormat="1" ht="72.75" customHeight="1">
      <c r="A50" s="48" t="s">
        <v>258</v>
      </c>
      <c r="B50" s="181" t="s">
        <v>259</v>
      </c>
      <c r="C50" s="45">
        <f>C51</f>
        <v>27000</v>
      </c>
      <c r="D50" s="45">
        <f t="shared" ref="D50:E50" si="7">D51</f>
        <v>27000</v>
      </c>
      <c r="E50" s="45">
        <f t="shared" si="7"/>
        <v>25000</v>
      </c>
    </row>
    <row r="51" spans="1:8" s="64" customFormat="1" ht="93" customHeight="1">
      <c r="A51" s="48" t="s">
        <v>150</v>
      </c>
      <c r="B51" s="179" t="s">
        <v>149</v>
      </c>
      <c r="C51" s="45">
        <v>27000</v>
      </c>
      <c r="D51" s="74">
        <v>27000</v>
      </c>
      <c r="E51" s="74">
        <v>25000</v>
      </c>
    </row>
    <row r="52" spans="1:8" s="64" customFormat="1" ht="90" customHeight="1">
      <c r="A52" s="63" t="s">
        <v>260</v>
      </c>
      <c r="B52" s="181" t="s">
        <v>261</v>
      </c>
      <c r="C52" s="45">
        <f>C53</f>
        <v>1400</v>
      </c>
      <c r="D52" s="45">
        <f t="shared" ref="D52:E52" si="8">D53</f>
        <v>1500</v>
      </c>
      <c r="E52" s="45">
        <f t="shared" si="8"/>
        <v>1000</v>
      </c>
    </row>
    <row r="53" spans="1:8" s="64" customFormat="1" ht="78" customHeight="1">
      <c r="A53" s="48" t="s">
        <v>140</v>
      </c>
      <c r="B53" s="179" t="s">
        <v>27</v>
      </c>
      <c r="C53" s="45">
        <f>2000-41.5-558.5</f>
        <v>1400</v>
      </c>
      <c r="D53" s="74">
        <v>1500</v>
      </c>
      <c r="E53" s="74">
        <v>1000</v>
      </c>
    </row>
    <row r="54" spans="1:8" s="64" customFormat="1" ht="39" customHeight="1">
      <c r="A54" s="48" t="s">
        <v>175</v>
      </c>
      <c r="B54" s="179" t="s">
        <v>176</v>
      </c>
      <c r="C54" s="45">
        <f>C55</f>
        <v>4395.3</v>
      </c>
      <c r="D54" s="45">
        <f t="shared" ref="D54:E55" si="9">D55</f>
        <v>3244</v>
      </c>
      <c r="E54" s="45">
        <f t="shared" si="9"/>
        <v>3225</v>
      </c>
    </row>
    <row r="55" spans="1:8" s="64" customFormat="1" ht="47.25">
      <c r="A55" s="63" t="s">
        <v>262</v>
      </c>
      <c r="B55" s="179" t="s">
        <v>263</v>
      </c>
      <c r="C55" s="45">
        <f>C56</f>
        <v>4395.3</v>
      </c>
      <c r="D55" s="45">
        <f t="shared" si="9"/>
        <v>3244</v>
      </c>
      <c r="E55" s="45">
        <f t="shared" si="9"/>
        <v>3225</v>
      </c>
    </row>
    <row r="56" spans="1:8" s="64" customFormat="1" ht="70.5" customHeight="1">
      <c r="A56" s="48" t="s">
        <v>146</v>
      </c>
      <c r="B56" s="179" t="s">
        <v>61</v>
      </c>
      <c r="C56" s="45">
        <f>3188+1207.3</f>
        <v>4395.3</v>
      </c>
      <c r="D56" s="45">
        <v>3244</v>
      </c>
      <c r="E56" s="45">
        <v>3225</v>
      </c>
    </row>
    <row r="57" spans="1:8" s="64" customFormat="1" ht="84" customHeight="1">
      <c r="A57" s="48" t="s">
        <v>177</v>
      </c>
      <c r="B57" s="179" t="s">
        <v>15</v>
      </c>
      <c r="C57" s="45">
        <f>C58</f>
        <v>6088.2</v>
      </c>
      <c r="D57" s="45">
        <f t="shared" ref="D57:E57" si="10">D58</f>
        <v>5670.6</v>
      </c>
      <c r="E57" s="45">
        <f t="shared" si="10"/>
        <v>5670.6</v>
      </c>
    </row>
    <row r="58" spans="1:8" s="64" customFormat="1" ht="79.5" customHeight="1">
      <c r="A58" s="48" t="s">
        <v>141</v>
      </c>
      <c r="B58" s="179" t="s">
        <v>28</v>
      </c>
      <c r="C58" s="45">
        <f>7088.2-1000</f>
        <v>6088.2</v>
      </c>
      <c r="D58" s="45">
        <v>5670.6</v>
      </c>
      <c r="E58" s="45">
        <v>5670.6</v>
      </c>
    </row>
    <row r="59" spans="1:8" s="64" customFormat="1" ht="31.5">
      <c r="A59" s="47" t="s">
        <v>178</v>
      </c>
      <c r="B59" s="178" t="s">
        <v>16</v>
      </c>
      <c r="C59" s="44">
        <f>669.2+271.6</f>
        <v>940.80000000000007</v>
      </c>
      <c r="D59" s="44">
        <f>702.7</f>
        <v>702.7</v>
      </c>
      <c r="E59" s="44">
        <v>737.8</v>
      </c>
      <c r="F59" s="110">
        <f>C61+C62+C63+C64+C65+C66</f>
        <v>940.8</v>
      </c>
      <c r="G59" s="110">
        <f t="shared" ref="G59:H59" si="11">D61+D62+D63+D64+D65+D66</f>
        <v>702.7</v>
      </c>
      <c r="H59" s="110">
        <f t="shared" si="11"/>
        <v>737.8</v>
      </c>
    </row>
    <row r="60" spans="1:8" s="64" customFormat="1" ht="36.75" customHeight="1">
      <c r="A60" s="89" t="s">
        <v>122</v>
      </c>
      <c r="B60" s="179" t="s">
        <v>121</v>
      </c>
      <c r="C60" s="45">
        <f>C61+C63+C65</f>
        <v>669.19999999999993</v>
      </c>
      <c r="D60" s="45">
        <f t="shared" ref="D60:E60" si="12">D61+D63+D65</f>
        <v>702.7</v>
      </c>
      <c r="E60" s="45">
        <f t="shared" si="12"/>
        <v>737.8</v>
      </c>
    </row>
    <row r="61" spans="1:8" s="64" customFormat="1" ht="52.5" customHeight="1">
      <c r="A61" s="48" t="s">
        <v>220</v>
      </c>
      <c r="B61" s="179" t="s">
        <v>221</v>
      </c>
      <c r="C61" s="45">
        <f>169.6</f>
        <v>169.6</v>
      </c>
      <c r="D61" s="74">
        <f>178.1</f>
        <v>178.1</v>
      </c>
      <c r="E61" s="74">
        <f>187</f>
        <v>187</v>
      </c>
    </row>
    <row r="62" spans="1:8" s="64" customFormat="1" ht="36.75" hidden="1" customHeight="1">
      <c r="A62" s="48" t="s">
        <v>689</v>
      </c>
      <c r="B62" s="179" t="s">
        <v>690</v>
      </c>
      <c r="C62" s="45"/>
      <c r="D62" s="45"/>
      <c r="E62" s="45"/>
    </row>
    <row r="63" spans="1:8" s="64" customFormat="1" ht="39.75" customHeight="1">
      <c r="A63" s="48" t="s">
        <v>222</v>
      </c>
      <c r="B63" s="179" t="s">
        <v>223</v>
      </c>
      <c r="C63" s="45">
        <v>318.7</v>
      </c>
      <c r="D63" s="75">
        <v>334.6</v>
      </c>
      <c r="E63" s="75">
        <v>351.3</v>
      </c>
    </row>
    <row r="64" spans="1:8" s="64" customFormat="1" ht="41.25" hidden="1" customHeight="1">
      <c r="A64" s="48" t="s">
        <v>224</v>
      </c>
      <c r="B64" s="179" t="s">
        <v>225</v>
      </c>
      <c r="C64" s="45"/>
      <c r="D64" s="75"/>
      <c r="E64" s="75"/>
    </row>
    <row r="65" spans="1:8" s="64" customFormat="1" ht="67.5" customHeight="1">
      <c r="A65" s="48" t="s">
        <v>923</v>
      </c>
      <c r="B65" s="179" t="s">
        <v>922</v>
      </c>
      <c r="C65" s="45">
        <v>180.9</v>
      </c>
      <c r="D65" s="45">
        <v>190</v>
      </c>
      <c r="E65" s="45">
        <v>199.5</v>
      </c>
    </row>
    <row r="66" spans="1:8" s="64" customFormat="1" ht="36" customHeight="1">
      <c r="A66" s="48" t="s">
        <v>1394</v>
      </c>
      <c r="B66" s="179" t="s">
        <v>1389</v>
      </c>
      <c r="C66" s="45">
        <v>271.60000000000002</v>
      </c>
      <c r="D66" s="45">
        <v>0</v>
      </c>
      <c r="E66" s="45">
        <v>0</v>
      </c>
    </row>
    <row r="67" spans="1:8" s="64" customFormat="1" ht="59.25" customHeight="1">
      <c r="A67" s="47" t="s">
        <v>179</v>
      </c>
      <c r="B67" s="178" t="s">
        <v>17</v>
      </c>
      <c r="C67" s="44">
        <f>1999.6+90.4+310.7+39.4+110.3+0.2</f>
        <v>2550.6</v>
      </c>
      <c r="D67" s="76">
        <f>2078.3</f>
        <v>2078.3000000000002</v>
      </c>
      <c r="E67" s="76">
        <f>2078.3</f>
        <v>2078.3000000000002</v>
      </c>
      <c r="F67" s="110">
        <f>C69+C70</f>
        <v>2550.6</v>
      </c>
      <c r="G67" s="110">
        <f>D69+D70</f>
        <v>2078.3000000000002</v>
      </c>
      <c r="H67" s="110">
        <f>E69+E70</f>
        <v>2078.3000000000002</v>
      </c>
    </row>
    <row r="68" spans="1:8" s="64" customFormat="1" ht="39.75" customHeight="1">
      <c r="A68" s="48" t="s">
        <v>180</v>
      </c>
      <c r="B68" s="179" t="s">
        <v>18</v>
      </c>
      <c r="C68" s="45">
        <f>C69</f>
        <v>2310.2999999999997</v>
      </c>
      <c r="D68" s="45">
        <f t="shared" ref="D68:E68" si="13">D69</f>
        <v>2078.3000000000002</v>
      </c>
      <c r="E68" s="45">
        <f t="shared" si="13"/>
        <v>2078.3000000000002</v>
      </c>
    </row>
    <row r="69" spans="1:8" s="64" customFormat="1" ht="54" customHeight="1">
      <c r="A69" s="48" t="s">
        <v>143</v>
      </c>
      <c r="B69" s="179" t="s">
        <v>142</v>
      </c>
      <c r="C69" s="45">
        <f>1999.6+310.7</f>
        <v>2310.2999999999997</v>
      </c>
      <c r="D69" s="74">
        <v>2078.3000000000002</v>
      </c>
      <c r="E69" s="74">
        <v>2078.3000000000002</v>
      </c>
    </row>
    <row r="70" spans="1:8" s="64" customFormat="1" ht="41.25" customHeight="1">
      <c r="A70" s="48" t="s">
        <v>835</v>
      </c>
      <c r="B70" s="179" t="s">
        <v>836</v>
      </c>
      <c r="C70" s="45">
        <f>40.9+49.5+39.4+110.3+0.2</f>
        <v>240.3</v>
      </c>
      <c r="D70" s="100">
        <v>0</v>
      </c>
      <c r="E70" s="100">
        <v>0</v>
      </c>
    </row>
    <row r="71" spans="1:8" s="64" customFormat="1" ht="59.25" customHeight="1">
      <c r="A71" s="47" t="s">
        <v>181</v>
      </c>
      <c r="B71" s="178" t="s">
        <v>19</v>
      </c>
      <c r="C71" s="44">
        <f>5000+8000-4000+642.7+37.1+1500+2268.9+682.7+3500+1500-1585.3</f>
        <v>17546.100000000002</v>
      </c>
      <c r="D71" s="44">
        <f>4000</f>
        <v>4000</v>
      </c>
      <c r="E71" s="44">
        <f>4000</f>
        <v>4000</v>
      </c>
      <c r="F71" s="110">
        <f>C74+C76+C72</f>
        <v>17546.099999999999</v>
      </c>
      <c r="G71" s="110">
        <f t="shared" ref="G71:H71" si="14">D74+D76+D72</f>
        <v>4000</v>
      </c>
      <c r="H71" s="110">
        <f t="shared" si="14"/>
        <v>4000</v>
      </c>
    </row>
    <row r="72" spans="1:8" s="64" customFormat="1" ht="59.25" hidden="1" customHeight="1">
      <c r="A72" s="48" t="s">
        <v>900</v>
      </c>
      <c r="B72" s="179" t="s">
        <v>901</v>
      </c>
      <c r="C72" s="45"/>
      <c r="D72" s="45"/>
      <c r="E72" s="45"/>
      <c r="F72" s="102"/>
      <c r="G72" s="102"/>
      <c r="H72" s="102"/>
    </row>
    <row r="73" spans="1:8" s="64" customFormat="1" ht="59.25" hidden="1" customHeight="1">
      <c r="A73" s="48" t="s">
        <v>902</v>
      </c>
      <c r="B73" s="179" t="s">
        <v>903</v>
      </c>
      <c r="C73" s="45"/>
      <c r="D73" s="45"/>
      <c r="E73" s="45"/>
      <c r="F73" s="102"/>
      <c r="G73" s="102"/>
      <c r="H73" s="102"/>
    </row>
    <row r="74" spans="1:8" s="64" customFormat="1" ht="91.5" customHeight="1">
      <c r="A74" s="48" t="s">
        <v>904</v>
      </c>
      <c r="B74" s="179" t="s">
        <v>116</v>
      </c>
      <c r="C74" s="45">
        <f>C75</f>
        <v>10366.299999999999</v>
      </c>
      <c r="D74" s="45">
        <f t="shared" ref="D74:E74" si="15">D75</f>
        <v>0</v>
      </c>
      <c r="E74" s="45">
        <f t="shared" si="15"/>
        <v>0</v>
      </c>
    </row>
    <row r="75" spans="1:8" s="64" customFormat="1" ht="103.5" customHeight="1">
      <c r="A75" s="48" t="s">
        <v>152</v>
      </c>
      <c r="B75" s="179" t="s">
        <v>112</v>
      </c>
      <c r="C75" s="45">
        <f>8000-4000+2268.9+682.7+3500+1500-1585.3</f>
        <v>10366.299999999999</v>
      </c>
      <c r="D75" s="77">
        <v>0</v>
      </c>
      <c r="E75" s="77">
        <v>0</v>
      </c>
    </row>
    <row r="76" spans="1:8" s="64" customFormat="1" ht="54" customHeight="1">
      <c r="A76" s="48" t="s">
        <v>117</v>
      </c>
      <c r="B76" s="179" t="s">
        <v>301</v>
      </c>
      <c r="C76" s="45">
        <f>C77+C78</f>
        <v>7179.8</v>
      </c>
      <c r="D76" s="45">
        <f t="shared" ref="D76:E76" si="16">D77+D78</f>
        <v>4000</v>
      </c>
      <c r="E76" s="45">
        <f t="shared" si="16"/>
        <v>4000</v>
      </c>
    </row>
    <row r="77" spans="1:8" s="64" customFormat="1" ht="53.25" customHeight="1">
      <c r="A77" s="48" t="s">
        <v>154</v>
      </c>
      <c r="B77" s="179" t="s">
        <v>153</v>
      </c>
      <c r="C77" s="45">
        <f>5000+642.7+1500</f>
        <v>7142.7</v>
      </c>
      <c r="D77" s="74">
        <v>4000</v>
      </c>
      <c r="E77" s="74">
        <v>4000</v>
      </c>
    </row>
    <row r="78" spans="1:8" s="64" customFormat="1" ht="57" customHeight="1">
      <c r="A78" s="48" t="s">
        <v>842</v>
      </c>
      <c r="B78" s="179" t="s">
        <v>843</v>
      </c>
      <c r="C78" s="45">
        <v>37.1</v>
      </c>
      <c r="D78" s="77">
        <v>0</v>
      </c>
      <c r="E78" s="77">
        <v>0</v>
      </c>
    </row>
    <row r="79" spans="1:8" s="64" customFormat="1" ht="45" customHeight="1">
      <c r="A79" s="47" t="s">
        <v>182</v>
      </c>
      <c r="B79" s="178" t="s">
        <v>113</v>
      </c>
      <c r="C79" s="44">
        <f>3605.6+0.5+135+67.5+300+5+44.1+0.6+0.4+100+35+20+7.3+130.6-26.8-71.4+136.5+16.8-42.6+36.1+8+20</f>
        <v>4528.2000000000016</v>
      </c>
      <c r="D79" s="44">
        <f>3571.6</f>
        <v>3571.6</v>
      </c>
      <c r="E79" s="44">
        <f>3640.4</f>
        <v>3640.4</v>
      </c>
      <c r="F79" s="110">
        <f>C80+C83+C84+C87+C89+C93+C96+C99+C101+C103+C104+C105+C91+C97+C98+C100</f>
        <v>4528.2000000000007</v>
      </c>
      <c r="G79" s="110">
        <f t="shared" ref="G79:H79" si="17">D80+D83+D84+D87+D89+D93+D96+D99+D101+D103+D104+D105+D91+D97+D98+D100</f>
        <v>3571.6000000000004</v>
      </c>
      <c r="H79" s="110">
        <f t="shared" si="17"/>
        <v>3640.3999999999996</v>
      </c>
    </row>
    <row r="80" spans="1:8" s="64" customFormat="1" ht="46.5" customHeight="1">
      <c r="A80" s="48" t="s">
        <v>183</v>
      </c>
      <c r="B80" s="179" t="s">
        <v>184</v>
      </c>
      <c r="C80" s="45">
        <f>320</f>
        <v>320</v>
      </c>
      <c r="D80" s="74">
        <f>332.5</f>
        <v>332.5</v>
      </c>
      <c r="E80" s="74">
        <v>360</v>
      </c>
      <c r="F80" s="102">
        <f>C81+C82</f>
        <v>320</v>
      </c>
      <c r="G80" s="102">
        <f>D81+D82</f>
        <v>332.5</v>
      </c>
      <c r="H80" s="102">
        <f>E81+E82</f>
        <v>360</v>
      </c>
    </row>
    <row r="81" spans="1:8" s="64" customFormat="1" ht="90" customHeight="1">
      <c r="A81" s="48" t="s">
        <v>132</v>
      </c>
      <c r="B81" s="179" t="s">
        <v>302</v>
      </c>
      <c r="C81" s="45">
        <f>240</f>
        <v>240</v>
      </c>
      <c r="D81" s="74">
        <f>250</f>
        <v>250</v>
      </c>
      <c r="E81" s="74">
        <f>275</f>
        <v>275</v>
      </c>
    </row>
    <row r="82" spans="1:8" s="64" customFormat="1" ht="79.5" customHeight="1">
      <c r="A82" s="48" t="s">
        <v>134</v>
      </c>
      <c r="B82" s="179" t="s">
        <v>133</v>
      </c>
      <c r="C82" s="45">
        <f>80</f>
        <v>80</v>
      </c>
      <c r="D82" s="74">
        <f>82.5</f>
        <v>82.5</v>
      </c>
      <c r="E82" s="74">
        <f>85</f>
        <v>85</v>
      </c>
    </row>
    <row r="83" spans="1:8" s="64" customFormat="1" ht="81" customHeight="1">
      <c r="A83" s="63" t="s">
        <v>254</v>
      </c>
      <c r="B83" s="179" t="s">
        <v>255</v>
      </c>
      <c r="C83" s="45">
        <f>100</f>
        <v>100</v>
      </c>
      <c r="D83" s="74">
        <f>110</f>
        <v>110</v>
      </c>
      <c r="E83" s="74">
        <f>120</f>
        <v>120</v>
      </c>
    </row>
    <row r="84" spans="1:8" s="64" customFormat="1" ht="83.25" customHeight="1">
      <c r="A84" s="63" t="s">
        <v>273</v>
      </c>
      <c r="B84" s="179" t="s">
        <v>274</v>
      </c>
      <c r="C84" s="45">
        <f>167.3-26.8</f>
        <v>140.5</v>
      </c>
      <c r="D84" s="74">
        <f>158.2</f>
        <v>158.19999999999999</v>
      </c>
      <c r="E84" s="74">
        <f>162.9</f>
        <v>162.9</v>
      </c>
      <c r="F84" s="102">
        <f>C85+C86</f>
        <v>140.5</v>
      </c>
      <c r="G84" s="102">
        <f>D85+D86</f>
        <v>158.20000000000002</v>
      </c>
      <c r="H84" s="102">
        <f>E85+E86</f>
        <v>162.9</v>
      </c>
    </row>
    <row r="85" spans="1:8" s="64" customFormat="1" ht="75" customHeight="1">
      <c r="A85" s="63" t="s">
        <v>275</v>
      </c>
      <c r="B85" s="179" t="s">
        <v>738</v>
      </c>
      <c r="C85" s="45">
        <f>140.5</f>
        <v>140.5</v>
      </c>
      <c r="D85" s="74">
        <f>138.3</f>
        <v>138.30000000000001</v>
      </c>
      <c r="E85" s="74">
        <f>136.4</f>
        <v>136.4</v>
      </c>
    </row>
    <row r="86" spans="1:8" s="64" customFormat="1" ht="58.5" customHeight="1">
      <c r="A86" s="63" t="s">
        <v>289</v>
      </c>
      <c r="B86" s="179" t="s">
        <v>290</v>
      </c>
      <c r="C86" s="45">
        <f>26.8-26.8</f>
        <v>0</v>
      </c>
      <c r="D86" s="75">
        <f>19.9</f>
        <v>19.899999999999999</v>
      </c>
      <c r="E86" s="75">
        <f>26.5</f>
        <v>26.5</v>
      </c>
    </row>
    <row r="87" spans="1:8" s="64" customFormat="1" ht="43.5" customHeight="1">
      <c r="A87" s="63" t="s">
        <v>750</v>
      </c>
      <c r="B87" s="179" t="s">
        <v>752</v>
      </c>
      <c r="C87" s="45">
        <f>C88</f>
        <v>5</v>
      </c>
      <c r="D87" s="45">
        <f t="shared" ref="D87:E87" si="18">D88</f>
        <v>0</v>
      </c>
      <c r="E87" s="45">
        <f t="shared" si="18"/>
        <v>0</v>
      </c>
    </row>
    <row r="88" spans="1:8" s="64" customFormat="1" ht="39" customHeight="1">
      <c r="A88" s="63" t="s">
        <v>750</v>
      </c>
      <c r="B88" s="179" t="s">
        <v>749</v>
      </c>
      <c r="C88" s="45">
        <v>5</v>
      </c>
      <c r="D88" s="77">
        <v>0</v>
      </c>
      <c r="E88" s="77">
        <v>0</v>
      </c>
    </row>
    <row r="89" spans="1:8" s="64" customFormat="1" ht="55.5" customHeight="1">
      <c r="A89" s="63" t="s">
        <v>730</v>
      </c>
      <c r="B89" s="179" t="s">
        <v>731</v>
      </c>
      <c r="C89" s="45">
        <f>C90</f>
        <v>392.20000000000005</v>
      </c>
      <c r="D89" s="45">
        <f t="shared" ref="D89:E89" si="19">D90</f>
        <v>105.3</v>
      </c>
      <c r="E89" s="45">
        <f t="shared" si="19"/>
        <v>117.3</v>
      </c>
    </row>
    <row r="90" spans="1:8" s="64" customFormat="1" ht="55.5" customHeight="1">
      <c r="A90" s="63" t="s">
        <v>728</v>
      </c>
      <c r="B90" s="179" t="s">
        <v>729</v>
      </c>
      <c r="C90" s="45">
        <f>126.6+135+130.6</f>
        <v>392.20000000000005</v>
      </c>
      <c r="D90" s="77">
        <f>105.3</f>
        <v>105.3</v>
      </c>
      <c r="E90" s="77">
        <f>117.3</f>
        <v>117.3</v>
      </c>
    </row>
    <row r="91" spans="1:8" s="64" customFormat="1" ht="55.5" hidden="1" customHeight="1">
      <c r="A91" s="63" t="s">
        <v>913</v>
      </c>
      <c r="B91" s="179" t="s">
        <v>914</v>
      </c>
      <c r="C91" s="45"/>
      <c r="D91" s="45"/>
      <c r="E91" s="45"/>
    </row>
    <row r="92" spans="1:8" s="64" customFormat="1" ht="77.25" hidden="1" customHeight="1">
      <c r="A92" s="63" t="s">
        <v>915</v>
      </c>
      <c r="B92" s="179" t="s">
        <v>916</v>
      </c>
      <c r="C92" s="45"/>
      <c r="D92" s="77"/>
      <c r="E92" s="77"/>
    </row>
    <row r="93" spans="1:8" s="64" customFormat="1" ht="121.5" customHeight="1">
      <c r="A93" s="48" t="s">
        <v>226</v>
      </c>
      <c r="B93" s="179" t="s">
        <v>740</v>
      </c>
      <c r="C93" s="45">
        <f>1+48+50+0.5+36.1</f>
        <v>135.6</v>
      </c>
      <c r="D93" s="75">
        <f>48+50</f>
        <v>98</v>
      </c>
      <c r="E93" s="75">
        <f>48+55</f>
        <v>103</v>
      </c>
      <c r="F93" s="112">
        <f>C94+C95</f>
        <v>135.6</v>
      </c>
      <c r="G93" s="112">
        <f>D94+D95</f>
        <v>98</v>
      </c>
      <c r="H93" s="112">
        <f>E94+E95</f>
        <v>103</v>
      </c>
    </row>
    <row r="94" spans="1:8" s="64" customFormat="1" ht="66" customHeight="1">
      <c r="A94" s="48" t="s">
        <v>447</v>
      </c>
      <c r="B94" s="179" t="s">
        <v>448</v>
      </c>
      <c r="C94" s="45">
        <f>1+48+0.5</f>
        <v>49.5</v>
      </c>
      <c r="D94" s="77">
        <f>48</f>
        <v>48</v>
      </c>
      <c r="E94" s="77">
        <f>48</f>
        <v>48</v>
      </c>
    </row>
    <row r="95" spans="1:8" s="64" customFormat="1" ht="63" customHeight="1">
      <c r="A95" s="48" t="s">
        <v>227</v>
      </c>
      <c r="B95" s="179" t="s">
        <v>228</v>
      </c>
      <c r="C95" s="45">
        <f>50+36.1</f>
        <v>86.1</v>
      </c>
      <c r="D95" s="74">
        <f>50</f>
        <v>50</v>
      </c>
      <c r="E95" s="74">
        <f>55</f>
        <v>55</v>
      </c>
    </row>
    <row r="96" spans="1:8" s="64" customFormat="1" ht="72.75" customHeight="1">
      <c r="A96" s="48" t="s">
        <v>124</v>
      </c>
      <c r="B96" s="179" t="s">
        <v>123</v>
      </c>
      <c r="C96" s="45">
        <f>139.4-71.4</f>
        <v>68</v>
      </c>
      <c r="D96" s="74">
        <f>144</f>
        <v>144</v>
      </c>
      <c r="E96" s="74">
        <f>134.9</f>
        <v>134.9</v>
      </c>
    </row>
    <row r="97" spans="1:8" s="64" customFormat="1" ht="39" customHeight="1">
      <c r="A97" s="48" t="s">
        <v>1357</v>
      </c>
      <c r="B97" s="179" t="s">
        <v>1353</v>
      </c>
      <c r="C97" s="45">
        <f>67.5+136.5</f>
        <v>204</v>
      </c>
      <c r="D97" s="77">
        <v>0</v>
      </c>
      <c r="E97" s="77">
        <v>0</v>
      </c>
    </row>
    <row r="98" spans="1:8" s="64" customFormat="1" ht="70.5" customHeight="1">
      <c r="A98" s="83" t="s">
        <v>1356</v>
      </c>
      <c r="B98" s="182" t="s">
        <v>1355</v>
      </c>
      <c r="C98" s="45">
        <v>44.1</v>
      </c>
      <c r="D98" s="77">
        <v>0</v>
      </c>
      <c r="E98" s="77">
        <v>0</v>
      </c>
    </row>
    <row r="99" spans="1:8" s="64" customFormat="1" ht="63.75" hidden="1" customHeight="1">
      <c r="A99" s="63" t="s">
        <v>256</v>
      </c>
      <c r="B99" s="179" t="s">
        <v>292</v>
      </c>
      <c r="C99" s="45"/>
      <c r="D99" s="77">
        <v>0</v>
      </c>
      <c r="E99" s="77">
        <v>0</v>
      </c>
    </row>
    <row r="100" spans="1:8" s="64" customFormat="1" ht="72" customHeight="1">
      <c r="A100" s="63" t="s">
        <v>257</v>
      </c>
      <c r="B100" s="179" t="s">
        <v>291</v>
      </c>
      <c r="C100" s="45">
        <f>35+20</f>
        <v>55</v>
      </c>
      <c r="D100" s="77">
        <v>0</v>
      </c>
      <c r="E100" s="77">
        <v>0</v>
      </c>
    </row>
    <row r="101" spans="1:8" s="64" customFormat="1" ht="37.5" hidden="1" customHeight="1">
      <c r="A101" s="63" t="s">
        <v>732</v>
      </c>
      <c r="B101" s="179" t="s">
        <v>733</v>
      </c>
      <c r="C101" s="45"/>
      <c r="D101" s="45"/>
      <c r="E101" s="45"/>
    </row>
    <row r="102" spans="1:8" s="99" customFormat="1" ht="59.25" hidden="1" customHeight="1">
      <c r="A102" s="97" t="s">
        <v>734</v>
      </c>
      <c r="B102" s="185" t="s">
        <v>735</v>
      </c>
      <c r="C102" s="98"/>
      <c r="D102" s="114"/>
      <c r="E102" s="114"/>
    </row>
    <row r="103" spans="1:8" s="64" customFormat="1" ht="70.5" customHeight="1">
      <c r="A103" s="63" t="s">
        <v>717</v>
      </c>
      <c r="B103" s="179" t="s">
        <v>281</v>
      </c>
      <c r="C103" s="45">
        <f>15+19.9+52.7+16.8+8</f>
        <v>112.39999999999999</v>
      </c>
      <c r="D103" s="74">
        <f>15+21.1+52.7</f>
        <v>88.800000000000011</v>
      </c>
      <c r="E103" s="74">
        <f>15+21.5+52.7</f>
        <v>89.2</v>
      </c>
    </row>
    <row r="104" spans="1:8" s="64" customFormat="1" ht="75.75" customHeight="1">
      <c r="A104" s="63" t="s">
        <v>277</v>
      </c>
      <c r="B104" s="179" t="s">
        <v>278</v>
      </c>
      <c r="C104" s="45">
        <f>110.1</f>
        <v>110.1</v>
      </c>
      <c r="D104" s="74">
        <f>100</f>
        <v>100</v>
      </c>
      <c r="E104" s="74">
        <f>90</f>
        <v>90</v>
      </c>
    </row>
    <row r="105" spans="1:8" s="64" customFormat="1" ht="54.75" customHeight="1">
      <c r="A105" s="48" t="s">
        <v>185</v>
      </c>
      <c r="B105" s="179" t="s">
        <v>186</v>
      </c>
      <c r="C105" s="45">
        <f>C106</f>
        <v>2841.3</v>
      </c>
      <c r="D105" s="45">
        <f t="shared" ref="D105:E105" si="20">D106</f>
        <v>2434.8000000000002</v>
      </c>
      <c r="E105" s="45">
        <f t="shared" si="20"/>
        <v>2463.1</v>
      </c>
    </row>
    <row r="106" spans="1:8" s="64" customFormat="1" ht="56.25" customHeight="1">
      <c r="A106" s="48" t="s">
        <v>119</v>
      </c>
      <c r="B106" s="179" t="s">
        <v>118</v>
      </c>
      <c r="C106" s="45">
        <f>250+10+7+2042.6+146+300+0.6+0.4+100+7.3+20-42.6</f>
        <v>2841.3</v>
      </c>
      <c r="D106" s="75">
        <f>250+5+7+2026.8+146</f>
        <v>2434.8000000000002</v>
      </c>
      <c r="E106" s="74">
        <f>250+3+7+2057.1+146</f>
        <v>2463.1</v>
      </c>
    </row>
    <row r="107" spans="1:8" s="64" customFormat="1" ht="25.5" customHeight="1">
      <c r="A107" s="47" t="s">
        <v>187</v>
      </c>
      <c r="B107" s="178" t="s">
        <v>114</v>
      </c>
      <c r="C107" s="44">
        <f>2041.5+791.9+324.8-95.5+17.1+337.1+700-42.5</f>
        <v>4074.3999999999996</v>
      </c>
      <c r="D107" s="44">
        <f>2005.1-80</f>
        <v>1925.1</v>
      </c>
      <c r="E107" s="44">
        <f>2012.1-75</f>
        <v>1937.1</v>
      </c>
      <c r="F107" s="110">
        <f>C110+C111+C112+C113+C114+C109</f>
        <v>4074.4</v>
      </c>
      <c r="G107" s="110">
        <f t="shared" ref="G107:H107" si="21">D110+D111+D112+D113+D114+D109</f>
        <v>1925.1</v>
      </c>
      <c r="H107" s="110">
        <f t="shared" si="21"/>
        <v>1937.1</v>
      </c>
    </row>
    <row r="108" spans="1:8" s="64" customFormat="1" ht="20.25" customHeight="1">
      <c r="A108" s="48" t="s">
        <v>188</v>
      </c>
      <c r="B108" s="179" t="s">
        <v>189</v>
      </c>
      <c r="C108" s="45">
        <f>C110+C111+C112+C113+C114+C109</f>
        <v>4074.4</v>
      </c>
      <c r="D108" s="45">
        <f t="shared" ref="D108:E108" si="22">D110+D111+D112+D113+D114+D109</f>
        <v>1925.1</v>
      </c>
      <c r="E108" s="45">
        <f t="shared" si="22"/>
        <v>1937.1</v>
      </c>
    </row>
    <row r="109" spans="1:8" s="64" customFormat="1" ht="20.25" customHeight="1">
      <c r="A109" s="48" t="s">
        <v>1427</v>
      </c>
      <c r="B109" s="179" t="s">
        <v>1428</v>
      </c>
      <c r="C109" s="45">
        <v>337.1</v>
      </c>
      <c r="D109" s="45">
        <v>0</v>
      </c>
      <c r="E109" s="45">
        <v>0</v>
      </c>
    </row>
    <row r="110" spans="1:8" s="64" customFormat="1" ht="55.5" customHeight="1">
      <c r="A110" s="48" t="s">
        <v>148</v>
      </c>
      <c r="B110" s="179" t="s">
        <v>147</v>
      </c>
      <c r="C110" s="45">
        <f>829.9-42.5</f>
        <v>787.4</v>
      </c>
      <c r="D110" s="75">
        <f>829.9</f>
        <v>829.9</v>
      </c>
      <c r="E110" s="75">
        <f>829.9</f>
        <v>829.9</v>
      </c>
    </row>
    <row r="111" spans="1:8" s="64" customFormat="1" ht="45" customHeight="1">
      <c r="A111" s="48" t="s">
        <v>156</v>
      </c>
      <c r="B111" s="179" t="s">
        <v>155</v>
      </c>
      <c r="C111" s="45">
        <f>270.6-95.5</f>
        <v>175.10000000000002</v>
      </c>
      <c r="D111" s="75">
        <f>230.8-80</f>
        <v>150.80000000000001</v>
      </c>
      <c r="E111" s="75">
        <f>200-75</f>
        <v>125</v>
      </c>
    </row>
    <row r="112" spans="1:8" s="64" customFormat="1" ht="36" customHeight="1">
      <c r="A112" s="48" t="s">
        <v>135</v>
      </c>
      <c r="B112" s="179" t="s">
        <v>66</v>
      </c>
      <c r="C112" s="45">
        <f>32.9+324.8+17.1</f>
        <v>374.8</v>
      </c>
      <c r="D112" s="77">
        <v>0</v>
      </c>
      <c r="E112" s="77">
        <v>0</v>
      </c>
    </row>
    <row r="113" spans="1:13" s="64" customFormat="1" ht="1.5" hidden="1" customHeight="1">
      <c r="A113" s="48" t="s">
        <v>709</v>
      </c>
      <c r="B113" s="179" t="s">
        <v>710</v>
      </c>
      <c r="C113" s="45"/>
      <c r="D113" s="77"/>
      <c r="E113" s="77"/>
    </row>
    <row r="114" spans="1:13" s="64" customFormat="1" ht="71.25" customHeight="1">
      <c r="A114" s="48" t="s">
        <v>438</v>
      </c>
      <c r="B114" s="179" t="s">
        <v>439</v>
      </c>
      <c r="C114" s="45">
        <f>908.1+791.9+700</f>
        <v>2400</v>
      </c>
      <c r="D114" s="75">
        <v>944.4</v>
      </c>
      <c r="E114" s="75">
        <v>982.2</v>
      </c>
    </row>
    <row r="115" spans="1:13" s="64" customFormat="1" ht="43.5" customHeight="1">
      <c r="A115" s="47" t="s">
        <v>190</v>
      </c>
      <c r="B115" s="66" t="s">
        <v>191</v>
      </c>
      <c r="C115" s="44">
        <f>796668.4+8223.2-1042.7+6661+12052.7+7418.5+1000+8283.6+32806+12.7+3+471.7+270.1+1999.7+1156.7+5269.5-599.9+15305.5+21426.5+41337.8+417.5+85000+105+105</f>
        <v>1044351.4999999998</v>
      </c>
      <c r="D115" s="44">
        <f>734710.2+599.9</f>
        <v>735310.1</v>
      </c>
      <c r="E115" s="44">
        <v>757047.7</v>
      </c>
      <c r="F115" s="110">
        <f>C116+C141+C143+C136+C139</f>
        <v>1044351.4999999999</v>
      </c>
      <c r="G115" s="110">
        <f>D116+D141+D143+D136</f>
        <v>735310.1</v>
      </c>
      <c r="H115" s="110">
        <f>E116+E141+E143+E136</f>
        <v>757047.7</v>
      </c>
      <c r="M115" s="192">
        <f>SUM(C115-C116)</f>
        <v>567.09999999997672</v>
      </c>
    </row>
    <row r="116" spans="1:13" s="64" customFormat="1" ht="60.75" customHeight="1">
      <c r="A116" s="47" t="s">
        <v>192</v>
      </c>
      <c r="B116" s="66" t="s">
        <v>115</v>
      </c>
      <c r="C116" s="44">
        <f>796668.4+8223.2+6661+12052.7+7418.5+1000+32806+8283.6+12.7+3+471.7+270.1+5269.5+1156.7+15305.5+21426.5+41337.8+417.5+85000</f>
        <v>1043784.3999999998</v>
      </c>
      <c r="D116" s="44">
        <v>734710.2</v>
      </c>
      <c r="E116" s="44">
        <v>757047.7</v>
      </c>
      <c r="F116" s="110">
        <f>C117+C120+C129+C134</f>
        <v>1043784.3999999999</v>
      </c>
      <c r="G116" s="110">
        <f t="shared" ref="G116:H116" si="23">D117+D120+D129+D134</f>
        <v>734710.2</v>
      </c>
      <c r="H116" s="110">
        <f t="shared" si="23"/>
        <v>757047.7</v>
      </c>
    </row>
    <row r="117" spans="1:13" s="82" customFormat="1" ht="42.75" customHeight="1">
      <c r="A117" s="79" t="s">
        <v>935</v>
      </c>
      <c r="B117" s="182" t="s">
        <v>193</v>
      </c>
      <c r="C117" s="80">
        <f>C118+C119</f>
        <v>324422.8</v>
      </c>
      <c r="D117" s="80">
        <f>D118+D119</f>
        <v>257501.1</v>
      </c>
      <c r="E117" s="80">
        <f>E118+E119</f>
        <v>258997.1</v>
      </c>
      <c r="F117" s="204">
        <f>C118+C119</f>
        <v>324422.8</v>
      </c>
      <c r="G117" s="204">
        <f t="shared" ref="G117:H117" si="24">D118+D119</f>
        <v>257501.1</v>
      </c>
      <c r="H117" s="204">
        <f t="shared" si="24"/>
        <v>258997.1</v>
      </c>
    </row>
    <row r="118" spans="1:13" s="82" customFormat="1" ht="44.25" customHeight="1">
      <c r="A118" s="79" t="s">
        <v>936</v>
      </c>
      <c r="B118" s="182" t="s">
        <v>137</v>
      </c>
      <c r="C118" s="80">
        <v>275952.7</v>
      </c>
      <c r="D118" s="81">
        <v>257501.1</v>
      </c>
      <c r="E118" s="81">
        <v>258997.1</v>
      </c>
    </row>
    <row r="119" spans="1:13" s="82" customFormat="1" ht="44.25" customHeight="1">
      <c r="A119" s="95" t="s">
        <v>937</v>
      </c>
      <c r="B119" s="182" t="s">
        <v>736</v>
      </c>
      <c r="C119" s="80">
        <f>47313.4+1156.7</f>
        <v>48470.1</v>
      </c>
      <c r="D119" s="87">
        <v>0</v>
      </c>
      <c r="E119" s="87">
        <v>0</v>
      </c>
    </row>
    <row r="120" spans="1:13" s="82" customFormat="1" ht="43.5" customHeight="1">
      <c r="A120" s="79" t="s">
        <v>938</v>
      </c>
      <c r="B120" s="182" t="s">
        <v>744</v>
      </c>
      <c r="C120" s="80">
        <f>28139.1+5819+26.6+6661+1300+4252.7+6500+1000+7418.5+32806+8283.6+5269.5+417.5+41337.8+21426.5+15305.5</f>
        <v>185963.3</v>
      </c>
      <c r="D120" s="81">
        <v>10418.700000000001</v>
      </c>
      <c r="E120" s="81">
        <v>10731.9</v>
      </c>
      <c r="F120" s="203">
        <f>C121+C122+C123+C124+C125+C127+C128+C126</f>
        <v>185963.30000000002</v>
      </c>
      <c r="G120" s="203">
        <f t="shared" ref="G120:H120" si="25">D121+D122+D123+D124+D125+D127+D128+D126</f>
        <v>10418.700000000001</v>
      </c>
      <c r="H120" s="203">
        <f t="shared" si="25"/>
        <v>10731.9</v>
      </c>
      <c r="I120" s="202"/>
    </row>
    <row r="121" spans="1:13" s="82" customFormat="1" ht="43.5" customHeight="1">
      <c r="A121" s="79" t="s">
        <v>939</v>
      </c>
      <c r="B121" s="182" t="s">
        <v>906</v>
      </c>
      <c r="C121" s="80">
        <v>19835.5</v>
      </c>
      <c r="D121" s="87">
        <v>0</v>
      </c>
      <c r="E121" s="87">
        <v>0</v>
      </c>
      <c r="F121" s="115"/>
      <c r="G121" s="115"/>
      <c r="H121" s="115"/>
    </row>
    <row r="122" spans="1:13" s="82" customFormat="1" ht="99.75" customHeight="1">
      <c r="A122" s="94" t="s">
        <v>1376</v>
      </c>
      <c r="B122" s="182" t="s">
        <v>724</v>
      </c>
      <c r="C122" s="80">
        <f>32806-19835.5+5269.5</f>
        <v>18240</v>
      </c>
      <c r="D122" s="87">
        <v>0</v>
      </c>
      <c r="E122" s="87">
        <v>0</v>
      </c>
    </row>
    <row r="123" spans="1:13" s="82" customFormat="1" ht="117.75" customHeight="1">
      <c r="A123" s="94" t="s">
        <v>1496</v>
      </c>
      <c r="B123" s="182" t="s">
        <v>1498</v>
      </c>
      <c r="C123" s="80">
        <v>41337.800000000003</v>
      </c>
      <c r="D123" s="87">
        <v>0</v>
      </c>
      <c r="E123" s="87">
        <v>0</v>
      </c>
    </row>
    <row r="124" spans="1:13" s="82" customFormat="1" ht="99.75" customHeight="1">
      <c r="A124" s="94" t="s">
        <v>1497</v>
      </c>
      <c r="B124" s="182" t="s">
        <v>1499</v>
      </c>
      <c r="C124" s="80">
        <v>417.5</v>
      </c>
      <c r="D124" s="87">
        <v>0</v>
      </c>
      <c r="E124" s="87">
        <v>0</v>
      </c>
    </row>
    <row r="125" spans="1:13" s="82" customFormat="1" ht="58.5" customHeight="1">
      <c r="A125" s="201" t="s">
        <v>1500</v>
      </c>
      <c r="B125" s="182" t="s">
        <v>892</v>
      </c>
      <c r="C125" s="80">
        <v>8283.6</v>
      </c>
      <c r="D125" s="87">
        <v>0</v>
      </c>
      <c r="E125" s="87">
        <v>0</v>
      </c>
    </row>
    <row r="126" spans="1:13" s="82" customFormat="1" ht="70.5" customHeight="1">
      <c r="A126" s="83" t="s">
        <v>940</v>
      </c>
      <c r="B126" s="182" t="s">
        <v>751</v>
      </c>
      <c r="C126" s="80">
        <v>7445.1</v>
      </c>
      <c r="D126" s="87">
        <v>0</v>
      </c>
      <c r="E126" s="87">
        <v>0</v>
      </c>
    </row>
    <row r="127" spans="1:13" s="82" customFormat="1" ht="70.5" customHeight="1">
      <c r="A127" s="94" t="s">
        <v>742</v>
      </c>
      <c r="B127" s="182" t="s">
        <v>743</v>
      </c>
      <c r="C127" s="80">
        <f>6500+15305.5</f>
        <v>21805.5</v>
      </c>
      <c r="D127" s="87">
        <v>0</v>
      </c>
      <c r="E127" s="87">
        <v>0</v>
      </c>
    </row>
    <row r="128" spans="1:13" s="82" customFormat="1" ht="40.5" customHeight="1">
      <c r="A128" s="79" t="s">
        <v>941</v>
      </c>
      <c r="B128" s="199" t="s">
        <v>138</v>
      </c>
      <c r="C128" s="80">
        <f>28139.1+5819+6661+4252.7+1300+7418.5+1000-7418.5+21426.5</f>
        <v>68598.299999999988</v>
      </c>
      <c r="D128" s="81">
        <v>10418.700000000001</v>
      </c>
      <c r="E128" s="81">
        <v>10731.9</v>
      </c>
    </row>
    <row r="129" spans="1:8" s="82" customFormat="1" ht="45" customHeight="1">
      <c r="A129" s="79" t="s">
        <v>942</v>
      </c>
      <c r="B129" s="182" t="s">
        <v>194</v>
      </c>
      <c r="C129" s="80">
        <f>445263.2+2377.6+12.7+3+471.7+270.1</f>
        <v>448398.3</v>
      </c>
      <c r="D129" s="80">
        <v>466790.40000000002</v>
      </c>
      <c r="E129" s="80">
        <v>487318.7</v>
      </c>
      <c r="F129" s="203">
        <f>C130+C131+C132+C133</f>
        <v>448398.3</v>
      </c>
      <c r="G129" s="203">
        <f>D130+D131+D132+D133</f>
        <v>466790.39999999997</v>
      </c>
      <c r="H129" s="203">
        <f>E130+E131+E132+E133</f>
        <v>487318.7</v>
      </c>
    </row>
    <row r="130" spans="1:8" s="82" customFormat="1" ht="57" customHeight="1">
      <c r="A130" s="79" t="s">
        <v>943</v>
      </c>
      <c r="B130" s="182" t="s">
        <v>139</v>
      </c>
      <c r="C130" s="80">
        <f>8605.8+12.7</f>
        <v>8618.5</v>
      </c>
      <c r="D130" s="80">
        <v>8596.6</v>
      </c>
      <c r="E130" s="80">
        <v>8596.6</v>
      </c>
    </row>
    <row r="131" spans="1:8" s="82" customFormat="1" ht="77.25" customHeight="1">
      <c r="A131" s="83" t="s">
        <v>944</v>
      </c>
      <c r="B131" s="182" t="s">
        <v>279</v>
      </c>
      <c r="C131" s="80">
        <v>4293.8999999999996</v>
      </c>
      <c r="D131" s="87">
        <v>8587.6</v>
      </c>
      <c r="E131" s="87">
        <v>7514.2</v>
      </c>
    </row>
    <row r="132" spans="1:8" s="82" customFormat="1" ht="77.25" customHeight="1">
      <c r="A132" s="83" t="s">
        <v>945</v>
      </c>
      <c r="B132" s="182" t="s">
        <v>845</v>
      </c>
      <c r="C132" s="80">
        <v>16.100000000000001</v>
      </c>
      <c r="D132" s="87">
        <v>16.899999999999999</v>
      </c>
      <c r="E132" s="87">
        <v>17.7</v>
      </c>
    </row>
    <row r="133" spans="1:8" s="82" customFormat="1" ht="38.25" customHeight="1">
      <c r="A133" s="83" t="s">
        <v>946</v>
      </c>
      <c r="B133" s="199" t="s">
        <v>283</v>
      </c>
      <c r="C133" s="80">
        <f>432347.4+2377.6+3+471.7+270.1</f>
        <v>435469.8</v>
      </c>
      <c r="D133" s="80">
        <v>449589.3</v>
      </c>
      <c r="E133" s="80">
        <v>471190.2</v>
      </c>
    </row>
    <row r="134" spans="1:8" s="82" customFormat="1" ht="33.75" customHeight="1">
      <c r="A134" s="83" t="s">
        <v>1504</v>
      </c>
      <c r="B134" s="199" t="s">
        <v>893</v>
      </c>
      <c r="C134" s="80">
        <f>C135</f>
        <v>85000</v>
      </c>
      <c r="D134" s="80">
        <f t="shared" ref="D134:E134" si="26">D135</f>
        <v>0</v>
      </c>
      <c r="E134" s="80">
        <f t="shared" si="26"/>
        <v>0</v>
      </c>
      <c r="F134" s="204">
        <f>C135</f>
        <v>85000</v>
      </c>
      <c r="G134" s="204">
        <f t="shared" ref="G134:H134" si="27">D135</f>
        <v>0</v>
      </c>
      <c r="H134" s="204">
        <f t="shared" si="27"/>
        <v>0</v>
      </c>
    </row>
    <row r="135" spans="1:8" s="82" customFormat="1" ht="70.5" customHeight="1">
      <c r="A135" s="83" t="s">
        <v>1490</v>
      </c>
      <c r="B135" s="182" t="s">
        <v>1495</v>
      </c>
      <c r="C135" s="80">
        <v>85000</v>
      </c>
      <c r="D135" s="80">
        <v>0</v>
      </c>
      <c r="E135" s="80">
        <v>0</v>
      </c>
    </row>
    <row r="136" spans="1:8" s="82" customFormat="1" ht="50.25" customHeight="1">
      <c r="A136" s="84" t="s">
        <v>1398</v>
      </c>
      <c r="B136" s="198" t="s">
        <v>1503</v>
      </c>
      <c r="C136" s="85">
        <f>SUM(C137+C138)</f>
        <v>1504.8000000000002</v>
      </c>
      <c r="D136" s="85">
        <f t="shared" ref="D136:E136" si="28">SUM(D137+D138)</f>
        <v>599.9</v>
      </c>
      <c r="E136" s="85">
        <f t="shared" si="28"/>
        <v>0</v>
      </c>
    </row>
    <row r="137" spans="1:8" s="82" customFormat="1" ht="50.25" customHeight="1">
      <c r="A137" s="83" t="s">
        <v>1399</v>
      </c>
      <c r="B137" s="182" t="s">
        <v>1400</v>
      </c>
      <c r="C137" s="80">
        <f>1999.7-599.9</f>
        <v>1399.8000000000002</v>
      </c>
      <c r="D137" s="80">
        <f>599.9</f>
        <v>599.9</v>
      </c>
      <c r="E137" s="80">
        <v>0</v>
      </c>
    </row>
    <row r="138" spans="1:8" s="82" customFormat="1" ht="50.25" customHeight="1">
      <c r="A138" s="83" t="s">
        <v>1491</v>
      </c>
      <c r="B138" s="199" t="s">
        <v>1493</v>
      </c>
      <c r="C138" s="80">
        <v>105</v>
      </c>
      <c r="D138" s="80">
        <v>0</v>
      </c>
      <c r="E138" s="80">
        <v>0</v>
      </c>
    </row>
    <row r="139" spans="1:8" s="202" customFormat="1" ht="50.25" customHeight="1">
      <c r="A139" s="84" t="s">
        <v>1501</v>
      </c>
      <c r="B139" s="198" t="s">
        <v>1502</v>
      </c>
      <c r="C139" s="85">
        <f>C140</f>
        <v>105</v>
      </c>
      <c r="D139" s="85">
        <f t="shared" ref="D139:E139" si="29">D140</f>
        <v>0</v>
      </c>
      <c r="E139" s="85">
        <f t="shared" si="29"/>
        <v>0</v>
      </c>
    </row>
    <row r="140" spans="1:8" s="82" customFormat="1" ht="50.25" customHeight="1">
      <c r="A140" s="83" t="s">
        <v>1492</v>
      </c>
      <c r="B140" s="199" t="s">
        <v>1494</v>
      </c>
      <c r="C140" s="80">
        <v>105</v>
      </c>
      <c r="D140" s="80">
        <v>0</v>
      </c>
      <c r="E140" s="80">
        <v>0</v>
      </c>
    </row>
    <row r="141" spans="1:8" s="82" customFormat="1" ht="127.5" customHeight="1">
      <c r="A141" s="84" t="s">
        <v>293</v>
      </c>
      <c r="B141" s="191" t="s">
        <v>294</v>
      </c>
      <c r="C141" s="85">
        <v>0</v>
      </c>
      <c r="D141" s="85">
        <v>0</v>
      </c>
      <c r="E141" s="85">
        <v>0</v>
      </c>
    </row>
    <row r="142" spans="1:8" s="82" customFormat="1" ht="102.75" customHeight="1">
      <c r="A142" s="79" t="s">
        <v>947</v>
      </c>
      <c r="B142" s="182" t="s">
        <v>443</v>
      </c>
      <c r="C142" s="80">
        <v>0</v>
      </c>
      <c r="D142" s="80">
        <v>0</v>
      </c>
      <c r="E142" s="80">
        <v>0</v>
      </c>
    </row>
    <row r="143" spans="1:8" s="82" customFormat="1" ht="61.5" customHeight="1">
      <c r="A143" s="86" t="s">
        <v>427</v>
      </c>
      <c r="B143" s="191" t="s">
        <v>428</v>
      </c>
      <c r="C143" s="85">
        <f>C144+C145</f>
        <v>-1042.7</v>
      </c>
      <c r="D143" s="85">
        <v>0</v>
      </c>
      <c r="E143" s="85">
        <v>0</v>
      </c>
    </row>
    <row r="144" spans="1:8" s="82" customFormat="1" ht="69.75" customHeight="1">
      <c r="A144" s="79" t="s">
        <v>948</v>
      </c>
      <c r="B144" s="182" t="s">
        <v>466</v>
      </c>
      <c r="C144" s="80">
        <f>-1042.7</f>
        <v>-1042.7</v>
      </c>
      <c r="D144" s="80">
        <v>0</v>
      </c>
      <c r="E144" s="80">
        <v>0</v>
      </c>
    </row>
    <row r="145" spans="1:5" s="82" customFormat="1" ht="69.75" customHeight="1">
      <c r="A145" s="79" t="s">
        <v>949</v>
      </c>
      <c r="B145" s="182" t="s">
        <v>884</v>
      </c>
      <c r="C145" s="80">
        <v>0</v>
      </c>
      <c r="D145" s="80">
        <v>0</v>
      </c>
      <c r="E145" s="80">
        <v>0</v>
      </c>
    </row>
    <row r="146" spans="1:5" s="64" customFormat="1" ht="44.25" customHeight="1">
      <c r="A146" s="69"/>
      <c r="B146" s="66" t="s">
        <v>157</v>
      </c>
      <c r="C146" s="120">
        <f>1165700.5+8223.2-1042.7-5000+324.8+6661+12052.7+8418.5+310.7+32806+8283.6+161.1+100+32.4+271.6+35+1207.3+2268.9+1500+682.7+3500+12.7+3+471.7+270.1+1999.7+1500+1244.9+5269.5+1156.7-599.9-1585.3+163697.3</f>
        <v>1419937.7</v>
      </c>
      <c r="D146" s="76">
        <f>1100993.1+2703.8+599.9</f>
        <v>1104296.8</v>
      </c>
      <c r="E146" s="76">
        <f>1104024.5+6243.4</f>
        <v>1110267.8999999999</v>
      </c>
    </row>
    <row r="148" spans="1:5" ht="21.75" customHeight="1">
      <c r="C148" s="119">
        <f>SUM(C7+C115)</f>
        <v>1419937.6999999997</v>
      </c>
      <c r="D148" s="70">
        <f>SUM(D7+D115)</f>
        <v>1104296.8</v>
      </c>
      <c r="E148" s="70">
        <f>SUM(E7+E115)</f>
        <v>1110267.8999999999</v>
      </c>
    </row>
    <row r="149" spans="1:5">
      <c r="B149" s="125"/>
    </row>
    <row r="152" spans="1:5">
      <c r="B152" s="126"/>
    </row>
  </sheetData>
  <mergeCells count="7">
    <mergeCell ref="A1:E1"/>
    <mergeCell ref="A2:E2"/>
    <mergeCell ref="A5:A6"/>
    <mergeCell ref="B5:B6"/>
    <mergeCell ref="A3:E3"/>
    <mergeCell ref="A4:E4"/>
    <mergeCell ref="C5:E5"/>
  </mergeCells>
  <phoneticPr fontId="16" type="noConversion"/>
  <printOptions horizontalCentered="1"/>
  <pageMargins left="0.78740157480314965" right="0.39370078740157483" top="0.78740157480314965" bottom="0.78740157480314965" header="0.31496062992125984" footer="0.19685039370078741"/>
  <pageSetup paperSize="9" scale="75" firstPageNumber="3" fitToHeight="0" orientation="portrait" useFirstPageNumber="1" r:id="rId1"/>
  <headerFooter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92D050"/>
  </sheetPr>
  <dimension ref="A1:I147"/>
  <sheetViews>
    <sheetView view="pageLayout" topLeftCell="A71" zoomScaleNormal="100" zoomScaleSheetLayoutView="100" workbookViewId="0">
      <selection sqref="A1:E1"/>
    </sheetView>
  </sheetViews>
  <sheetFormatPr defaultRowHeight="15.75"/>
  <cols>
    <col min="1" max="1" width="48.21875" style="56" customWidth="1"/>
    <col min="2" max="2" width="20.44140625" style="50" customWidth="1"/>
    <col min="3" max="3" width="15.5546875" style="50" customWidth="1"/>
    <col min="4" max="4" width="13.5546875" style="46" customWidth="1"/>
    <col min="5" max="5" width="14" style="46" customWidth="1"/>
    <col min="6" max="8" width="11.77734375" style="46" customWidth="1"/>
    <col min="9" max="16384" width="8.88671875" style="46"/>
  </cols>
  <sheetData>
    <row r="1" spans="1:5" ht="135" customHeight="1">
      <c r="A1" s="218" t="s">
        <v>1378</v>
      </c>
      <c r="B1" s="218"/>
      <c r="C1" s="218"/>
      <c r="D1" s="218"/>
      <c r="E1" s="218"/>
    </row>
    <row r="2" spans="1:5" s="1" customFormat="1" ht="128.25" customHeight="1">
      <c r="A2" s="218" t="s">
        <v>1243</v>
      </c>
      <c r="B2" s="218"/>
      <c r="C2" s="218"/>
      <c r="D2" s="218"/>
      <c r="E2" s="218"/>
    </row>
    <row r="3" spans="1:5" ht="74.25" customHeight="1">
      <c r="A3" s="224" t="s">
        <v>932</v>
      </c>
      <c r="B3" s="224"/>
      <c r="C3" s="224"/>
      <c r="D3" s="224"/>
      <c r="E3" s="224"/>
    </row>
    <row r="4" spans="1:5" ht="39" customHeight="1">
      <c r="A4" s="73"/>
      <c r="B4" s="73"/>
      <c r="C4" s="73"/>
      <c r="D4" s="73"/>
      <c r="E4" s="73"/>
    </row>
    <row r="5" spans="1:5" ht="18" customHeight="1">
      <c r="A5" s="219" t="s">
        <v>1</v>
      </c>
      <c r="B5" s="219"/>
      <c r="C5" s="219"/>
      <c r="D5" s="219"/>
      <c r="E5" s="219"/>
    </row>
    <row r="6" spans="1:5" ht="28.5" customHeight="1">
      <c r="A6" s="211" t="s">
        <v>62</v>
      </c>
      <c r="B6" s="211" t="s">
        <v>42</v>
      </c>
      <c r="C6" s="220" t="s">
        <v>458</v>
      </c>
      <c r="D6" s="220"/>
      <c r="E6" s="220"/>
    </row>
    <row r="7" spans="1:5" ht="15" customHeight="1">
      <c r="A7" s="223"/>
      <c r="B7" s="223"/>
      <c r="C7" s="220"/>
      <c r="D7" s="220"/>
      <c r="E7" s="220"/>
    </row>
    <row r="8" spans="1:5" ht="31.5" customHeight="1">
      <c r="A8" s="212"/>
      <c r="B8" s="212"/>
      <c r="C8" s="72" t="s">
        <v>459</v>
      </c>
      <c r="D8" s="121" t="s">
        <v>847</v>
      </c>
      <c r="E8" s="121" t="s">
        <v>930</v>
      </c>
    </row>
    <row r="9" spans="1:5" ht="63" customHeight="1">
      <c r="A9" s="176" t="s">
        <v>720</v>
      </c>
      <c r="B9" s="91" t="s">
        <v>719</v>
      </c>
      <c r="C9" s="92">
        <f>C10</f>
        <v>1.5</v>
      </c>
      <c r="D9" s="92">
        <f>D10</f>
        <v>0</v>
      </c>
      <c r="E9" s="92">
        <f>E10</f>
        <v>0</v>
      </c>
    </row>
    <row r="10" spans="1:5" ht="62.25" customHeight="1">
      <c r="A10" s="177" t="s">
        <v>721</v>
      </c>
      <c r="B10" s="88" t="s">
        <v>447</v>
      </c>
      <c r="C10" s="93">
        <f>1+0.5</f>
        <v>1.5</v>
      </c>
      <c r="D10" s="93">
        <v>0</v>
      </c>
      <c r="E10" s="93">
        <v>0</v>
      </c>
    </row>
    <row r="11" spans="1:5" s="103" customFormat="1" ht="61.5" hidden="1" customHeight="1">
      <c r="A11" s="176" t="s">
        <v>839</v>
      </c>
      <c r="B11" s="91" t="s">
        <v>840</v>
      </c>
      <c r="C11" s="92">
        <f>C12</f>
        <v>0</v>
      </c>
      <c r="D11" s="92">
        <f>D12</f>
        <v>0</v>
      </c>
      <c r="E11" s="92">
        <f>E12</f>
        <v>0</v>
      </c>
    </row>
    <row r="12" spans="1:5" ht="48" hidden="1" customHeight="1">
      <c r="A12" s="177" t="s">
        <v>295</v>
      </c>
      <c r="B12" s="88" t="s">
        <v>841</v>
      </c>
      <c r="C12" s="93"/>
      <c r="D12" s="93"/>
      <c r="E12" s="93"/>
    </row>
    <row r="13" spans="1:5" ht="39" customHeight="1">
      <c r="A13" s="176" t="s">
        <v>1391</v>
      </c>
      <c r="B13" s="91" t="s">
        <v>1392</v>
      </c>
      <c r="C13" s="92">
        <f>C14</f>
        <v>55</v>
      </c>
      <c r="D13" s="92">
        <f t="shared" ref="D13:E13" si="0">D14</f>
        <v>0</v>
      </c>
      <c r="E13" s="92">
        <f t="shared" si="0"/>
        <v>0</v>
      </c>
    </row>
    <row r="14" spans="1:5" ht="48" customHeight="1">
      <c r="A14" s="177" t="s">
        <v>1393</v>
      </c>
      <c r="B14" s="186" t="s">
        <v>841</v>
      </c>
      <c r="C14" s="93">
        <f>35+20</f>
        <v>55</v>
      </c>
      <c r="D14" s="93">
        <v>0</v>
      </c>
      <c r="E14" s="93">
        <v>0</v>
      </c>
    </row>
    <row r="15" spans="1:5" ht="59.25" customHeight="1">
      <c r="A15" s="178" t="s">
        <v>934</v>
      </c>
      <c r="B15" s="51" t="s">
        <v>120</v>
      </c>
      <c r="C15" s="44">
        <f>C16+C17+C18+C19+C21+C20</f>
        <v>940.8</v>
      </c>
      <c r="D15" s="44">
        <f t="shared" ref="D15:E15" si="1">D16+D17+D18+D19+D21+D20</f>
        <v>702.7</v>
      </c>
      <c r="E15" s="44">
        <f t="shared" si="1"/>
        <v>737.8</v>
      </c>
    </row>
    <row r="16" spans="1:5" ht="54.75" customHeight="1">
      <c r="A16" s="179" t="s">
        <v>221</v>
      </c>
      <c r="B16" s="52" t="s">
        <v>711</v>
      </c>
      <c r="C16" s="45">
        <v>169.6</v>
      </c>
      <c r="D16" s="74">
        <v>178.1</v>
      </c>
      <c r="E16" s="74">
        <v>187</v>
      </c>
    </row>
    <row r="17" spans="1:5" ht="48.75" hidden="1" customHeight="1">
      <c r="A17" s="179" t="s">
        <v>690</v>
      </c>
      <c r="B17" s="52" t="s">
        <v>712</v>
      </c>
      <c r="C17" s="45"/>
      <c r="D17" s="45"/>
      <c r="E17" s="45"/>
    </row>
    <row r="18" spans="1:5" ht="34.5" customHeight="1">
      <c r="A18" s="179" t="s">
        <v>223</v>
      </c>
      <c r="B18" s="52" t="s">
        <v>713</v>
      </c>
      <c r="C18" s="45">
        <v>318.7</v>
      </c>
      <c r="D18" s="45">
        <v>334.6</v>
      </c>
      <c r="E18" s="45">
        <v>351.3</v>
      </c>
    </row>
    <row r="19" spans="1:5" ht="38.25" hidden="1" customHeight="1">
      <c r="A19" s="179" t="s">
        <v>225</v>
      </c>
      <c r="B19" s="52" t="s">
        <v>714</v>
      </c>
      <c r="C19" s="45"/>
      <c r="D19" s="75"/>
      <c r="E19" s="75"/>
    </row>
    <row r="20" spans="1:5" ht="70.5" customHeight="1">
      <c r="A20" s="179" t="s">
        <v>922</v>
      </c>
      <c r="B20" s="52" t="s">
        <v>921</v>
      </c>
      <c r="C20" s="45">
        <v>180.9</v>
      </c>
      <c r="D20" s="77">
        <v>190</v>
      </c>
      <c r="E20" s="77">
        <v>199.5</v>
      </c>
    </row>
    <row r="21" spans="1:5" ht="33.75" customHeight="1">
      <c r="A21" s="180" t="s">
        <v>1389</v>
      </c>
      <c r="B21" s="96" t="s">
        <v>1390</v>
      </c>
      <c r="C21" s="45">
        <v>271.60000000000002</v>
      </c>
      <c r="D21" s="90">
        <v>0</v>
      </c>
      <c r="E21" s="90">
        <v>0</v>
      </c>
    </row>
    <row r="22" spans="1:5" ht="77.25" customHeight="1">
      <c r="A22" s="178" t="s">
        <v>460</v>
      </c>
      <c r="B22" s="71" t="s">
        <v>449</v>
      </c>
      <c r="C22" s="44">
        <f>C23+C24+C25</f>
        <v>313</v>
      </c>
      <c r="D22" s="44">
        <f>D23+D24+D25</f>
        <v>313</v>
      </c>
      <c r="E22" s="44">
        <f>E23+E24+E25</f>
        <v>313</v>
      </c>
    </row>
    <row r="23" spans="1:5" ht="52.5" customHeight="1">
      <c r="A23" s="179" t="s">
        <v>451</v>
      </c>
      <c r="B23" s="52" t="s">
        <v>450</v>
      </c>
      <c r="C23" s="45">
        <v>48</v>
      </c>
      <c r="D23" s="74">
        <v>48</v>
      </c>
      <c r="E23" s="75">
        <v>48</v>
      </c>
    </row>
    <row r="24" spans="1:5" ht="89.25" customHeight="1">
      <c r="A24" s="179" t="s">
        <v>281</v>
      </c>
      <c r="B24" s="52" t="s">
        <v>717</v>
      </c>
      <c r="C24" s="45">
        <v>15</v>
      </c>
      <c r="D24" s="77">
        <v>15</v>
      </c>
      <c r="E24" s="77">
        <v>15</v>
      </c>
    </row>
    <row r="25" spans="1:5" ht="69.75" customHeight="1">
      <c r="A25" s="179" t="s">
        <v>453</v>
      </c>
      <c r="B25" s="52" t="s">
        <v>452</v>
      </c>
      <c r="C25" s="45">
        <v>250</v>
      </c>
      <c r="D25" s="74">
        <v>250</v>
      </c>
      <c r="E25" s="74">
        <v>250</v>
      </c>
    </row>
    <row r="26" spans="1:5" ht="55.5" customHeight="1">
      <c r="A26" s="178" t="s">
        <v>272</v>
      </c>
      <c r="B26" s="51">
        <v>100</v>
      </c>
      <c r="C26" s="44">
        <f>C27+C28+C29+C30</f>
        <v>7247.6</v>
      </c>
      <c r="D26" s="44">
        <f>D27+D28+D29+D30</f>
        <v>9131.4</v>
      </c>
      <c r="E26" s="44">
        <f>E27+E28+E29+E30</f>
        <v>12566</v>
      </c>
    </row>
    <row r="27" spans="1:5" ht="130.5" customHeight="1">
      <c r="A27" s="179" t="s">
        <v>1252</v>
      </c>
      <c r="B27" s="52" t="s">
        <v>1259</v>
      </c>
      <c r="C27" s="45">
        <f>2187.4+1100</f>
        <v>3287.4</v>
      </c>
      <c r="D27" s="45">
        <f>2187.4+1121.5</f>
        <v>3308.9</v>
      </c>
      <c r="E27" s="45">
        <f>2187.4+2293.4</f>
        <v>4480.8</v>
      </c>
    </row>
    <row r="28" spans="1:5" ht="143.25" customHeight="1">
      <c r="A28" s="179" t="s">
        <v>1254</v>
      </c>
      <c r="B28" s="52" t="s">
        <v>1260</v>
      </c>
      <c r="C28" s="45">
        <v>18.8</v>
      </c>
      <c r="D28" s="45">
        <f>18.8+3.1</f>
        <v>21.900000000000002</v>
      </c>
      <c r="E28" s="45">
        <f>18.8+10.5</f>
        <v>29.3</v>
      </c>
    </row>
    <row r="29" spans="1:5" ht="136.5" customHeight="1">
      <c r="A29" s="179" t="s">
        <v>1256</v>
      </c>
      <c r="B29" s="52" t="s">
        <v>1255</v>
      </c>
      <c r="C29" s="45">
        <v>4560.8999999999996</v>
      </c>
      <c r="D29" s="45">
        <f>4560.9+1855.2</f>
        <v>6416.0999999999995</v>
      </c>
      <c r="E29" s="45">
        <f>4560.9+4324.5</f>
        <v>8885.4</v>
      </c>
    </row>
    <row r="30" spans="1:5" ht="126" customHeight="1">
      <c r="A30" s="179" t="s">
        <v>1258</v>
      </c>
      <c r="B30" s="52" t="s">
        <v>1257</v>
      </c>
      <c r="C30" s="45">
        <f>-419.5-200</f>
        <v>-619.5</v>
      </c>
      <c r="D30" s="45">
        <f>-419.5-196</f>
        <v>-615.5</v>
      </c>
      <c r="E30" s="45">
        <f>-419.5-410</f>
        <v>-829.5</v>
      </c>
    </row>
    <row r="31" spans="1:5" ht="65.25" customHeight="1">
      <c r="A31" s="178" t="s">
        <v>229</v>
      </c>
      <c r="B31" s="51" t="s">
        <v>43</v>
      </c>
      <c r="C31" s="44">
        <f>C32</f>
        <v>10</v>
      </c>
      <c r="D31" s="44">
        <f>D32</f>
        <v>5</v>
      </c>
      <c r="E31" s="44">
        <f>E32</f>
        <v>3</v>
      </c>
    </row>
    <row r="32" spans="1:5" ht="66" customHeight="1">
      <c r="A32" s="179" t="s">
        <v>118</v>
      </c>
      <c r="B32" s="52" t="s">
        <v>119</v>
      </c>
      <c r="C32" s="45">
        <v>10</v>
      </c>
      <c r="D32" s="75">
        <v>5</v>
      </c>
      <c r="E32" s="75">
        <v>3</v>
      </c>
    </row>
    <row r="33" spans="1:8" ht="63.75" hidden="1" customHeight="1">
      <c r="A33" s="178" t="s">
        <v>230</v>
      </c>
      <c r="B33" s="51" t="s">
        <v>44</v>
      </c>
      <c r="C33" s="44">
        <f>C34+C35</f>
        <v>0</v>
      </c>
      <c r="D33" s="44">
        <f>D34+D35</f>
        <v>0</v>
      </c>
      <c r="E33" s="44">
        <f>E34+E35</f>
        <v>0</v>
      </c>
    </row>
    <row r="34" spans="1:8" ht="74.25" hidden="1" customHeight="1">
      <c r="A34" s="179" t="s">
        <v>123</v>
      </c>
      <c r="B34" s="52" t="s">
        <v>124</v>
      </c>
      <c r="C34" s="45"/>
      <c r="D34" s="74"/>
      <c r="E34" s="74"/>
    </row>
    <row r="35" spans="1:8" ht="65.25" hidden="1" customHeight="1">
      <c r="A35" s="179" t="s">
        <v>118</v>
      </c>
      <c r="B35" s="52" t="s">
        <v>119</v>
      </c>
      <c r="C35" s="45"/>
      <c r="D35" s="45"/>
      <c r="E35" s="45"/>
    </row>
    <row r="36" spans="1:8" ht="57" hidden="1" customHeight="1">
      <c r="A36" s="178" t="s">
        <v>264</v>
      </c>
      <c r="B36" s="51">
        <v>161</v>
      </c>
      <c r="C36" s="44">
        <f>C37</f>
        <v>0</v>
      </c>
      <c r="D36" s="44">
        <f>D37</f>
        <v>0</v>
      </c>
      <c r="E36" s="44">
        <f>E37</f>
        <v>0</v>
      </c>
    </row>
    <row r="37" spans="1:8" ht="87.75" hidden="1" customHeight="1">
      <c r="A37" s="179" t="s">
        <v>295</v>
      </c>
      <c r="B37" s="52" t="s">
        <v>722</v>
      </c>
      <c r="C37" s="45"/>
      <c r="D37" s="74"/>
      <c r="E37" s="74"/>
    </row>
    <row r="38" spans="1:8" ht="103.5" customHeight="1">
      <c r="A38" s="178" t="s">
        <v>231</v>
      </c>
      <c r="B38" s="51">
        <v>177</v>
      </c>
      <c r="C38" s="44">
        <f>C39</f>
        <v>14.3</v>
      </c>
      <c r="D38" s="44">
        <f>D39</f>
        <v>7</v>
      </c>
      <c r="E38" s="44">
        <f>E39</f>
        <v>7</v>
      </c>
    </row>
    <row r="39" spans="1:8" ht="64.5" customHeight="1">
      <c r="A39" s="179" t="s">
        <v>118</v>
      </c>
      <c r="B39" s="52" t="s">
        <v>119</v>
      </c>
      <c r="C39" s="45">
        <f>7+7.3</f>
        <v>14.3</v>
      </c>
      <c r="D39" s="74">
        <v>7</v>
      </c>
      <c r="E39" s="74">
        <v>7</v>
      </c>
    </row>
    <row r="40" spans="1:8" ht="56.25" customHeight="1">
      <c r="A40" s="178" t="s">
        <v>296</v>
      </c>
      <c r="B40" s="51" t="s">
        <v>40</v>
      </c>
      <c r="C40" s="44">
        <f>301690-791.9+782.4-523.2+32.4-1134.7</f>
        <v>300055</v>
      </c>
      <c r="D40" s="44">
        <v>310565.5</v>
      </c>
      <c r="E40" s="44">
        <v>293705</v>
      </c>
      <c r="F40" s="105">
        <f>C41+C42+C43+C44+C45+C46+C47+C48+C49+C50+C51+C52+C53+C54+C56+C57+C58+C59+C60+C55</f>
        <v>300055</v>
      </c>
      <c r="G40" s="105">
        <f t="shared" ref="G40:H40" si="2">D41+D42+D43+D44+D45+D46+D47+D48+D49+D50+D51+D52+D53+D54+D56+D57+D58+D59+D60+D55</f>
        <v>310565.5</v>
      </c>
      <c r="H40" s="105">
        <f t="shared" si="2"/>
        <v>293705</v>
      </c>
    </row>
    <row r="41" spans="1:8" ht="102" customHeight="1">
      <c r="A41" s="181" t="s">
        <v>217</v>
      </c>
      <c r="B41" s="52" t="s">
        <v>125</v>
      </c>
      <c r="C41" s="45">
        <v>147500</v>
      </c>
      <c r="D41" s="74">
        <v>152500</v>
      </c>
      <c r="E41" s="74">
        <v>155000</v>
      </c>
      <c r="F41" s="104"/>
      <c r="G41" s="104"/>
      <c r="H41" s="104"/>
    </row>
    <row r="42" spans="1:8" ht="129.75" customHeight="1">
      <c r="A42" s="181" t="s">
        <v>219</v>
      </c>
      <c r="B42" s="52" t="s">
        <v>218</v>
      </c>
      <c r="C42" s="45">
        <f>1625-456.6</f>
        <v>1168.4000000000001</v>
      </c>
      <c r="D42" s="74">
        <v>1750</v>
      </c>
      <c r="E42" s="74">
        <v>1875</v>
      </c>
    </row>
    <row r="43" spans="1:8" ht="69.75" customHeight="1">
      <c r="A43" s="181" t="s">
        <v>244</v>
      </c>
      <c r="B43" s="52" t="s">
        <v>243</v>
      </c>
      <c r="C43" s="45">
        <f>700+456.6</f>
        <v>1156.5999999999999</v>
      </c>
      <c r="D43" s="74">
        <v>750</v>
      </c>
      <c r="E43" s="74">
        <v>800</v>
      </c>
    </row>
    <row r="44" spans="1:8" ht="96.75" customHeight="1">
      <c r="A44" s="181" t="s">
        <v>300</v>
      </c>
      <c r="B44" s="52" t="s">
        <v>245</v>
      </c>
      <c r="C44" s="45">
        <v>375</v>
      </c>
      <c r="D44" s="74">
        <v>400</v>
      </c>
      <c r="E44" s="74">
        <v>425</v>
      </c>
    </row>
    <row r="45" spans="1:8" ht="53.25" customHeight="1">
      <c r="A45" s="179" t="s">
        <v>20</v>
      </c>
      <c r="B45" s="52" t="s">
        <v>21</v>
      </c>
      <c r="C45" s="45">
        <f>37500-791.9-523.2-1134.7</f>
        <v>35050.200000000004</v>
      </c>
      <c r="D45" s="74">
        <v>38000</v>
      </c>
      <c r="E45" s="74">
        <v>9400</v>
      </c>
    </row>
    <row r="46" spans="1:8" ht="53.25" hidden="1" customHeight="1">
      <c r="A46" s="179" t="s">
        <v>727</v>
      </c>
      <c r="B46" s="52" t="s">
        <v>726</v>
      </c>
      <c r="C46" s="45"/>
      <c r="D46" s="77"/>
      <c r="E46" s="77"/>
    </row>
    <row r="47" spans="1:8" ht="35.25" customHeight="1">
      <c r="A47" s="179" t="s">
        <v>22</v>
      </c>
      <c r="B47" s="52" t="s">
        <v>23</v>
      </c>
      <c r="C47" s="45">
        <f>20+32.4</f>
        <v>52.4</v>
      </c>
      <c r="D47" s="74">
        <v>23</v>
      </c>
      <c r="E47" s="74">
        <v>25</v>
      </c>
    </row>
    <row r="48" spans="1:8" ht="79.5" customHeight="1">
      <c r="A48" s="179" t="s">
        <v>253</v>
      </c>
      <c r="B48" s="52" t="s">
        <v>251</v>
      </c>
      <c r="C48" s="45">
        <f>9000+782.4</f>
        <v>9782.4</v>
      </c>
      <c r="D48" s="74">
        <v>10000</v>
      </c>
      <c r="E48" s="74">
        <v>18000</v>
      </c>
    </row>
    <row r="49" spans="1:5" ht="64.5" customHeight="1">
      <c r="A49" s="179" t="s">
        <v>24</v>
      </c>
      <c r="B49" s="52" t="s">
        <v>25</v>
      </c>
      <c r="C49" s="45">
        <v>12500</v>
      </c>
      <c r="D49" s="74">
        <v>13500</v>
      </c>
      <c r="E49" s="74">
        <v>13800</v>
      </c>
    </row>
    <row r="50" spans="1:5" ht="57" customHeight="1">
      <c r="A50" s="179" t="s">
        <v>298</v>
      </c>
      <c r="B50" s="52" t="s">
        <v>297</v>
      </c>
      <c r="C50" s="45">
        <v>65000</v>
      </c>
      <c r="D50" s="74">
        <v>66000</v>
      </c>
      <c r="E50" s="74">
        <v>66500</v>
      </c>
    </row>
    <row r="51" spans="1:5" ht="54.75" customHeight="1">
      <c r="A51" s="179" t="s">
        <v>299</v>
      </c>
      <c r="B51" s="52" t="s">
        <v>286</v>
      </c>
      <c r="C51" s="45">
        <v>19200</v>
      </c>
      <c r="D51" s="74">
        <v>19300</v>
      </c>
      <c r="E51" s="74">
        <v>19400</v>
      </c>
    </row>
    <row r="52" spans="1:5" ht="65.25" customHeight="1">
      <c r="A52" s="179" t="s">
        <v>26</v>
      </c>
      <c r="B52" s="52" t="s">
        <v>131</v>
      </c>
      <c r="C52" s="45">
        <v>7850</v>
      </c>
      <c r="D52" s="74">
        <v>7900</v>
      </c>
      <c r="E52" s="74">
        <v>8000</v>
      </c>
    </row>
    <row r="53" spans="1:5" ht="61.5" hidden="1" customHeight="1">
      <c r="A53" s="179" t="s">
        <v>716</v>
      </c>
      <c r="B53" s="48" t="s">
        <v>695</v>
      </c>
      <c r="C53" s="45"/>
      <c r="D53" s="45"/>
      <c r="E53" s="45"/>
    </row>
    <row r="54" spans="1:5" ht="30" hidden="1" customHeight="1">
      <c r="A54" s="179" t="s">
        <v>715</v>
      </c>
      <c r="B54" s="48" t="s">
        <v>696</v>
      </c>
      <c r="C54" s="45"/>
      <c r="D54" s="45"/>
      <c r="E54" s="45"/>
    </row>
    <row r="55" spans="1:5" ht="53.25" hidden="1" customHeight="1">
      <c r="A55" s="179" t="s">
        <v>912</v>
      </c>
      <c r="B55" s="48" t="s">
        <v>911</v>
      </c>
      <c r="C55" s="45"/>
      <c r="D55" s="45"/>
      <c r="E55" s="45"/>
    </row>
    <row r="56" spans="1:5" ht="30" hidden="1" customHeight="1">
      <c r="A56" s="179" t="s">
        <v>693</v>
      </c>
      <c r="B56" s="48" t="s">
        <v>697</v>
      </c>
      <c r="C56" s="45"/>
      <c r="D56" s="45"/>
      <c r="E56" s="45"/>
    </row>
    <row r="57" spans="1:5" ht="67.5" hidden="1" customHeight="1">
      <c r="A57" s="179" t="s">
        <v>694</v>
      </c>
      <c r="B57" s="48" t="s">
        <v>698</v>
      </c>
      <c r="C57" s="45"/>
      <c r="D57" s="45"/>
      <c r="E57" s="45"/>
    </row>
    <row r="58" spans="1:5" ht="94.5" customHeight="1">
      <c r="A58" s="179" t="s">
        <v>737</v>
      </c>
      <c r="B58" s="52" t="s">
        <v>132</v>
      </c>
      <c r="C58" s="45">
        <v>240</v>
      </c>
      <c r="D58" s="74">
        <v>250</v>
      </c>
      <c r="E58" s="74">
        <v>275</v>
      </c>
    </row>
    <row r="59" spans="1:5" ht="79.5" customHeight="1">
      <c r="A59" s="179" t="s">
        <v>133</v>
      </c>
      <c r="B59" s="52" t="s">
        <v>134</v>
      </c>
      <c r="C59" s="45">
        <v>80</v>
      </c>
      <c r="D59" s="74">
        <v>82.5</v>
      </c>
      <c r="E59" s="74">
        <v>85</v>
      </c>
    </row>
    <row r="60" spans="1:5" ht="80.25" customHeight="1">
      <c r="A60" s="179" t="s">
        <v>255</v>
      </c>
      <c r="B60" s="52" t="s">
        <v>254</v>
      </c>
      <c r="C60" s="45">
        <v>100</v>
      </c>
      <c r="D60" s="74">
        <v>110</v>
      </c>
      <c r="E60" s="74">
        <v>120</v>
      </c>
    </row>
    <row r="61" spans="1:5" ht="46.5" customHeight="1">
      <c r="A61" s="178" t="s">
        <v>280</v>
      </c>
      <c r="B61" s="51" t="s">
        <v>65</v>
      </c>
      <c r="C61" s="44">
        <f>C62+C63+C64+C65+C67+C68+C66</f>
        <v>2841.4</v>
      </c>
      <c r="D61" s="44">
        <f t="shared" ref="D61:E61" si="3">D62+D63+D64+D65+D67+D68+D66</f>
        <v>2455.4</v>
      </c>
      <c r="E61" s="44">
        <f t="shared" si="3"/>
        <v>2493.6999999999998</v>
      </c>
    </row>
    <row r="62" spans="1:5" ht="81" customHeight="1">
      <c r="A62" s="179" t="s">
        <v>738</v>
      </c>
      <c r="B62" s="52" t="s">
        <v>275</v>
      </c>
      <c r="C62" s="45">
        <v>140.5</v>
      </c>
      <c r="D62" s="74">
        <v>138.30000000000001</v>
      </c>
      <c r="E62" s="74">
        <v>136.4</v>
      </c>
    </row>
    <row r="63" spans="1:5" ht="70.5" customHeight="1">
      <c r="A63" s="179" t="s">
        <v>290</v>
      </c>
      <c r="B63" s="52" t="s">
        <v>289</v>
      </c>
      <c r="C63" s="45">
        <f>26.8-26.8</f>
        <v>0</v>
      </c>
      <c r="D63" s="75">
        <v>19.899999999999999</v>
      </c>
      <c r="E63" s="75">
        <v>26.5</v>
      </c>
    </row>
    <row r="64" spans="1:5" ht="70.5" customHeight="1">
      <c r="A64" s="179" t="s">
        <v>739</v>
      </c>
      <c r="B64" s="52" t="s">
        <v>728</v>
      </c>
      <c r="C64" s="45">
        <f>126.6+135+130.6</f>
        <v>392.20000000000005</v>
      </c>
      <c r="D64" s="77">
        <v>105.3</v>
      </c>
      <c r="E64" s="77">
        <v>117.3</v>
      </c>
    </row>
    <row r="65" spans="1:9" ht="80.25" customHeight="1">
      <c r="A65" s="179" t="s">
        <v>123</v>
      </c>
      <c r="B65" s="52" t="s">
        <v>844</v>
      </c>
      <c r="C65" s="45">
        <f>139.4-71.4</f>
        <v>68</v>
      </c>
      <c r="D65" s="74">
        <v>144</v>
      </c>
      <c r="E65" s="74">
        <v>134.9</v>
      </c>
    </row>
    <row r="66" spans="1:9" ht="43.5" customHeight="1">
      <c r="A66" s="179" t="s">
        <v>1353</v>
      </c>
      <c r="B66" s="52" t="s">
        <v>1354</v>
      </c>
      <c r="C66" s="45">
        <f>67.5+136.5</f>
        <v>204</v>
      </c>
      <c r="D66" s="77">
        <v>0</v>
      </c>
      <c r="E66" s="77">
        <v>0</v>
      </c>
    </row>
    <row r="67" spans="1:9" ht="95.25" customHeight="1">
      <c r="A67" s="179" t="s">
        <v>281</v>
      </c>
      <c r="B67" s="52" t="s">
        <v>276</v>
      </c>
      <c r="C67" s="45">
        <f>19.9+16.8</f>
        <v>36.700000000000003</v>
      </c>
      <c r="D67" s="74">
        <v>21.1</v>
      </c>
      <c r="E67" s="74">
        <v>21.5</v>
      </c>
    </row>
    <row r="68" spans="1:9" ht="62.25" customHeight="1">
      <c r="A68" s="179" t="s">
        <v>118</v>
      </c>
      <c r="B68" s="52" t="s">
        <v>119</v>
      </c>
      <c r="C68" s="45">
        <f>2042.6-42.6</f>
        <v>2000</v>
      </c>
      <c r="D68" s="74">
        <v>2026.8</v>
      </c>
      <c r="E68" s="74">
        <v>2057.1</v>
      </c>
    </row>
    <row r="69" spans="1:9" ht="60" customHeight="1">
      <c r="A69" s="178" t="s">
        <v>232</v>
      </c>
      <c r="B69" s="51">
        <v>321</v>
      </c>
      <c r="C69" s="44">
        <f>C70</f>
        <v>86.1</v>
      </c>
      <c r="D69" s="44">
        <f>D70</f>
        <v>50</v>
      </c>
      <c r="E69" s="44">
        <f>E70</f>
        <v>55</v>
      </c>
    </row>
    <row r="70" spans="1:9" ht="50.25" customHeight="1">
      <c r="A70" s="179" t="s">
        <v>741</v>
      </c>
      <c r="B70" s="52" t="s">
        <v>723</v>
      </c>
      <c r="C70" s="45">
        <f>50+36.1</f>
        <v>86.1</v>
      </c>
      <c r="D70" s="74">
        <v>50</v>
      </c>
      <c r="E70" s="74">
        <v>55</v>
      </c>
    </row>
    <row r="71" spans="1:9" ht="54" customHeight="1">
      <c r="A71" s="178" t="s">
        <v>461</v>
      </c>
      <c r="B71" s="51">
        <v>322</v>
      </c>
      <c r="C71" s="44">
        <f>C72</f>
        <v>60.7</v>
      </c>
      <c r="D71" s="44">
        <f>D72</f>
        <v>52.7</v>
      </c>
      <c r="E71" s="44">
        <f>E72</f>
        <v>52.7</v>
      </c>
    </row>
    <row r="72" spans="1:9" ht="52.5" customHeight="1">
      <c r="A72" s="179" t="s">
        <v>228</v>
      </c>
      <c r="B72" s="52" t="s">
        <v>717</v>
      </c>
      <c r="C72" s="45">
        <f>52.7+8</f>
        <v>60.7</v>
      </c>
      <c r="D72" s="77">
        <v>52.7</v>
      </c>
      <c r="E72" s="77">
        <v>52.7</v>
      </c>
    </row>
    <row r="73" spans="1:9" ht="36.75" customHeight="1">
      <c r="A73" s="178" t="s">
        <v>718</v>
      </c>
      <c r="B73" s="51">
        <v>415</v>
      </c>
      <c r="C73" s="44">
        <f>C74</f>
        <v>420</v>
      </c>
      <c r="D73" s="44">
        <f>D74</f>
        <v>0</v>
      </c>
      <c r="E73" s="44">
        <f>E74</f>
        <v>0</v>
      </c>
    </row>
    <row r="74" spans="1:9" ht="54.75" customHeight="1">
      <c r="A74" s="179" t="s">
        <v>118</v>
      </c>
      <c r="B74" s="52" t="s">
        <v>452</v>
      </c>
      <c r="C74" s="45">
        <f>300+100+20</f>
        <v>420</v>
      </c>
      <c r="D74" s="77">
        <v>0</v>
      </c>
      <c r="E74" s="77">
        <v>0</v>
      </c>
    </row>
    <row r="75" spans="1:9" s="103" customFormat="1" ht="54.75" customHeight="1">
      <c r="A75" s="178" t="s">
        <v>1489</v>
      </c>
      <c r="B75" s="51">
        <v>951</v>
      </c>
      <c r="C75" s="44">
        <f>C76</f>
        <v>0.2</v>
      </c>
      <c r="D75" s="44">
        <f t="shared" ref="D75:E75" si="4">D76</f>
        <v>0</v>
      </c>
      <c r="E75" s="44">
        <f t="shared" si="4"/>
        <v>0</v>
      </c>
    </row>
    <row r="76" spans="1:9" ht="54.75" customHeight="1">
      <c r="A76" s="179" t="s">
        <v>836</v>
      </c>
      <c r="B76" s="52" t="s">
        <v>837</v>
      </c>
      <c r="C76" s="45">
        <v>0.2</v>
      </c>
      <c r="D76" s="77">
        <v>0</v>
      </c>
      <c r="E76" s="77">
        <v>0</v>
      </c>
    </row>
    <row r="77" spans="1:9" ht="54.75" customHeight="1">
      <c r="A77" s="178" t="s">
        <v>39</v>
      </c>
      <c r="B77" s="51">
        <v>953</v>
      </c>
      <c r="C77" s="44">
        <f>C78</f>
        <v>49.5</v>
      </c>
      <c r="D77" s="44">
        <f>D78</f>
        <v>0</v>
      </c>
      <c r="E77" s="44">
        <f>E78</f>
        <v>0</v>
      </c>
    </row>
    <row r="78" spans="1:9" ht="50.25" customHeight="1">
      <c r="A78" s="179" t="s">
        <v>836</v>
      </c>
      <c r="B78" s="52" t="s">
        <v>837</v>
      </c>
      <c r="C78" s="45">
        <v>49.5</v>
      </c>
      <c r="D78" s="77">
        <v>0</v>
      </c>
      <c r="E78" s="77">
        <v>0</v>
      </c>
    </row>
    <row r="79" spans="1:9" ht="50.25" customHeight="1">
      <c r="A79" s="178" t="s">
        <v>136</v>
      </c>
      <c r="B79" s="51" t="s">
        <v>30</v>
      </c>
      <c r="C79" s="44">
        <f>C82+C83+C85+C86+C87+C88+C93+C90+C94+C95+C96+C97+C98+C100+C105+C107+C99+C80+C106+C101+C89+C81+C84+C102+C91+C92+C103+C104</f>
        <v>1046886</v>
      </c>
      <c r="D79" s="44">
        <f t="shared" ref="D79:E79" si="5">D82+D83+D85+D86+D87+D88+D93+D90+D94+D95+D96+D97+D98+D100+D105+D107+D99+D80+D106+D101+D89+D81+D84+D102+D91+D92+D103+D104</f>
        <v>737539.2</v>
      </c>
      <c r="E79" s="44">
        <f t="shared" si="5"/>
        <v>759251</v>
      </c>
      <c r="F79" s="110">
        <f>SUM(C80:C107)</f>
        <v>1046886</v>
      </c>
      <c r="G79" s="110">
        <f>SUM(D80:D107)</f>
        <v>737539.20000000007</v>
      </c>
      <c r="H79" s="110">
        <f>SUM(E80:E107)</f>
        <v>759251</v>
      </c>
      <c r="I79" s="49"/>
    </row>
    <row r="80" spans="1:9" s="57" customFormat="1" ht="50.25" customHeight="1">
      <c r="A80" s="182" t="s">
        <v>142</v>
      </c>
      <c r="B80" s="83" t="s">
        <v>143</v>
      </c>
      <c r="C80" s="80">
        <f>1999.6+310.7</f>
        <v>2310.2999999999997</v>
      </c>
      <c r="D80" s="81">
        <v>2078.3000000000002</v>
      </c>
      <c r="E80" s="81">
        <v>2078.3000000000002</v>
      </c>
    </row>
    <row r="81" spans="1:5" s="116" customFormat="1" ht="50.25" hidden="1" customHeight="1">
      <c r="A81" s="183" t="s">
        <v>836</v>
      </c>
      <c r="B81" s="122" t="s">
        <v>835</v>
      </c>
      <c r="C81" s="123"/>
      <c r="D81" s="123"/>
      <c r="E81" s="123"/>
    </row>
    <row r="82" spans="1:5" ht="50.25" customHeight="1">
      <c r="A82" s="182" t="s">
        <v>749</v>
      </c>
      <c r="B82" s="83" t="s">
        <v>750</v>
      </c>
      <c r="C82" s="80">
        <v>5</v>
      </c>
      <c r="D82" s="80">
        <v>0</v>
      </c>
      <c r="E82" s="80">
        <v>0</v>
      </c>
    </row>
    <row r="83" spans="1:5" ht="70.5" hidden="1" customHeight="1">
      <c r="A83" s="183" t="s">
        <v>916</v>
      </c>
      <c r="B83" s="122" t="s">
        <v>915</v>
      </c>
      <c r="C83" s="123"/>
      <c r="D83" s="123"/>
      <c r="E83" s="123"/>
    </row>
    <row r="84" spans="1:5" s="57" customFormat="1" ht="70.5" customHeight="1">
      <c r="A84" s="182" t="s">
        <v>1355</v>
      </c>
      <c r="B84" s="83" t="s">
        <v>1356</v>
      </c>
      <c r="C84" s="80">
        <v>44.1</v>
      </c>
      <c r="D84" s="80">
        <v>0</v>
      </c>
      <c r="E84" s="80">
        <v>0</v>
      </c>
    </row>
    <row r="85" spans="1:5" s="57" customFormat="1" ht="60" customHeight="1">
      <c r="A85" s="182" t="s">
        <v>155</v>
      </c>
      <c r="B85" s="83" t="s">
        <v>156</v>
      </c>
      <c r="C85" s="80">
        <f>270.6-95.5</f>
        <v>175.10000000000002</v>
      </c>
      <c r="D85" s="124">
        <f>230.8-80</f>
        <v>150.80000000000001</v>
      </c>
      <c r="E85" s="124">
        <f>200-75</f>
        <v>125</v>
      </c>
    </row>
    <row r="86" spans="1:5" ht="51" hidden="1" customHeight="1">
      <c r="A86" s="179" t="s">
        <v>66</v>
      </c>
      <c r="B86" s="52" t="s">
        <v>687</v>
      </c>
      <c r="C86" s="45"/>
      <c r="D86" s="45"/>
      <c r="E86" s="45"/>
    </row>
    <row r="87" spans="1:5" s="57" customFormat="1" ht="51" customHeight="1">
      <c r="A87" s="182" t="s">
        <v>137</v>
      </c>
      <c r="B87" s="83" t="s">
        <v>936</v>
      </c>
      <c r="C87" s="80">
        <v>275952.7</v>
      </c>
      <c r="D87" s="80">
        <v>257501.1</v>
      </c>
      <c r="E87" s="80">
        <v>258997.1</v>
      </c>
    </row>
    <row r="88" spans="1:5" s="57" customFormat="1" ht="48.75" customHeight="1">
      <c r="A88" s="182" t="s">
        <v>736</v>
      </c>
      <c r="B88" s="83" t="s">
        <v>937</v>
      </c>
      <c r="C88" s="80">
        <f>47313.4+1156.7</f>
        <v>48470.1</v>
      </c>
      <c r="D88" s="80">
        <v>0</v>
      </c>
      <c r="E88" s="80">
        <v>0</v>
      </c>
    </row>
    <row r="89" spans="1:5" s="57" customFormat="1" ht="50.25" customHeight="1">
      <c r="A89" s="182" t="s">
        <v>906</v>
      </c>
      <c r="B89" s="83" t="s">
        <v>905</v>
      </c>
      <c r="C89" s="80">
        <v>19835.5</v>
      </c>
      <c r="D89" s="80">
        <v>0</v>
      </c>
      <c r="E89" s="80">
        <v>0</v>
      </c>
    </row>
    <row r="90" spans="1:5" s="57" customFormat="1" ht="94.5" customHeight="1">
      <c r="A90" s="182" t="s">
        <v>724</v>
      </c>
      <c r="B90" s="83" t="s">
        <v>1376</v>
      </c>
      <c r="C90" s="80">
        <f>32806-19835.5+5269.5</f>
        <v>18240</v>
      </c>
      <c r="D90" s="80">
        <v>0</v>
      </c>
      <c r="E90" s="80">
        <v>0</v>
      </c>
    </row>
    <row r="91" spans="1:5" s="57" customFormat="1" ht="134.25" customHeight="1">
      <c r="A91" s="182" t="s">
        <v>1498</v>
      </c>
      <c r="B91" s="83" t="s">
        <v>1496</v>
      </c>
      <c r="C91" s="80">
        <v>41337.800000000003</v>
      </c>
      <c r="D91" s="80">
        <v>0</v>
      </c>
      <c r="E91" s="80">
        <v>0</v>
      </c>
    </row>
    <row r="92" spans="1:5" s="57" customFormat="1" ht="102" customHeight="1">
      <c r="A92" s="182" t="s">
        <v>1499</v>
      </c>
      <c r="B92" s="83" t="s">
        <v>1497</v>
      </c>
      <c r="C92" s="80">
        <v>417.5</v>
      </c>
      <c r="D92" s="80">
        <v>0</v>
      </c>
      <c r="E92" s="80">
        <v>0</v>
      </c>
    </row>
    <row r="93" spans="1:5" s="57" customFormat="1" ht="49.5" customHeight="1">
      <c r="A93" s="182" t="s">
        <v>892</v>
      </c>
      <c r="B93" s="83" t="s">
        <v>1375</v>
      </c>
      <c r="C93" s="80">
        <v>8283.6</v>
      </c>
      <c r="D93" s="80">
        <v>0</v>
      </c>
      <c r="E93" s="80">
        <v>0</v>
      </c>
    </row>
    <row r="94" spans="1:5" s="57" customFormat="1" ht="64.5" customHeight="1">
      <c r="A94" s="182" t="s">
        <v>751</v>
      </c>
      <c r="B94" s="83" t="s">
        <v>940</v>
      </c>
      <c r="C94" s="80">
        <f>26.6+7418.5</f>
        <v>7445.1</v>
      </c>
      <c r="D94" s="80">
        <v>0</v>
      </c>
      <c r="E94" s="80">
        <v>0</v>
      </c>
    </row>
    <row r="95" spans="1:5" s="57" customFormat="1" ht="73.5" customHeight="1">
      <c r="A95" s="182" t="s">
        <v>743</v>
      </c>
      <c r="B95" s="83" t="s">
        <v>742</v>
      </c>
      <c r="C95" s="80">
        <f>6500+15305.5</f>
        <v>21805.5</v>
      </c>
      <c r="D95" s="80">
        <v>0</v>
      </c>
      <c r="E95" s="80">
        <v>0</v>
      </c>
    </row>
    <row r="96" spans="1:5" s="57" customFormat="1" ht="38.25" customHeight="1">
      <c r="A96" s="182" t="s">
        <v>138</v>
      </c>
      <c r="B96" s="83" t="s">
        <v>941</v>
      </c>
      <c r="C96" s="80">
        <f>28139.1+5819+6661+4252.7+1300+1000+7418.5-7418.5+21426.5</f>
        <v>68598.299999999988</v>
      </c>
      <c r="D96" s="80">
        <v>10418.700000000001</v>
      </c>
      <c r="E96" s="80">
        <v>10731.9</v>
      </c>
    </row>
    <row r="97" spans="1:5" s="57" customFormat="1" ht="57" customHeight="1">
      <c r="A97" s="182" t="s">
        <v>139</v>
      </c>
      <c r="B97" s="83" t="s">
        <v>943</v>
      </c>
      <c r="C97" s="80">
        <f>8605.8+12.7</f>
        <v>8618.5</v>
      </c>
      <c r="D97" s="80">
        <v>8596.6</v>
      </c>
      <c r="E97" s="80">
        <v>8596.6</v>
      </c>
    </row>
    <row r="98" spans="1:5" s="57" customFormat="1" ht="81.75" customHeight="1">
      <c r="A98" s="182" t="s">
        <v>282</v>
      </c>
      <c r="B98" s="83" t="s">
        <v>944</v>
      </c>
      <c r="C98" s="80">
        <v>4293.8999999999996</v>
      </c>
      <c r="D98" s="80">
        <v>8587.6</v>
      </c>
      <c r="E98" s="80">
        <v>7514.2</v>
      </c>
    </row>
    <row r="99" spans="1:5" s="57" customFormat="1" ht="81.75" customHeight="1">
      <c r="A99" s="182" t="s">
        <v>845</v>
      </c>
      <c r="B99" s="83" t="s">
        <v>945</v>
      </c>
      <c r="C99" s="80">
        <v>16.100000000000001</v>
      </c>
      <c r="D99" s="80">
        <v>16.899999999999999</v>
      </c>
      <c r="E99" s="80">
        <v>17.7</v>
      </c>
    </row>
    <row r="100" spans="1:5" s="57" customFormat="1" ht="42" customHeight="1">
      <c r="A100" s="182" t="s">
        <v>283</v>
      </c>
      <c r="B100" s="83" t="s">
        <v>946</v>
      </c>
      <c r="C100" s="80">
        <f>432347.4+2377.6+3+471.7+270.1</f>
        <v>435469.8</v>
      </c>
      <c r="D100" s="80">
        <v>449589.3</v>
      </c>
      <c r="E100" s="80">
        <v>471190.2</v>
      </c>
    </row>
    <row r="101" spans="1:5" s="57" customFormat="1" ht="85.5" customHeight="1">
      <c r="A101" s="182" t="s">
        <v>1495</v>
      </c>
      <c r="B101" s="83" t="s">
        <v>1490</v>
      </c>
      <c r="C101" s="80">
        <v>85000</v>
      </c>
      <c r="D101" s="80">
        <v>0</v>
      </c>
      <c r="E101" s="80">
        <v>0</v>
      </c>
    </row>
    <row r="102" spans="1:5" s="57" customFormat="1" ht="51.75" customHeight="1">
      <c r="A102" s="182" t="s">
        <v>1400</v>
      </c>
      <c r="B102" s="83" t="s">
        <v>1399</v>
      </c>
      <c r="C102" s="80">
        <f>1999.7-599.9</f>
        <v>1399.8000000000002</v>
      </c>
      <c r="D102" s="80">
        <f>599.9</f>
        <v>599.9</v>
      </c>
      <c r="E102" s="80">
        <v>0</v>
      </c>
    </row>
    <row r="103" spans="1:5" s="57" customFormat="1" ht="39" customHeight="1">
      <c r="A103" s="182" t="s">
        <v>1493</v>
      </c>
      <c r="B103" s="83" t="s">
        <v>1491</v>
      </c>
      <c r="C103" s="80">
        <v>105</v>
      </c>
      <c r="D103" s="80">
        <v>0</v>
      </c>
      <c r="E103" s="80">
        <v>0</v>
      </c>
    </row>
    <row r="104" spans="1:5" s="57" customFormat="1" ht="34.5" customHeight="1">
      <c r="A104" s="199" t="s">
        <v>1494</v>
      </c>
      <c r="B104" s="83" t="s">
        <v>1492</v>
      </c>
      <c r="C104" s="80">
        <v>105</v>
      </c>
      <c r="D104" s="80">
        <v>0</v>
      </c>
      <c r="E104" s="80">
        <v>0</v>
      </c>
    </row>
    <row r="105" spans="1:5" s="82" customFormat="1" ht="111.75" customHeight="1">
      <c r="A105" s="184" t="s">
        <v>443</v>
      </c>
      <c r="B105" s="83" t="s">
        <v>947</v>
      </c>
      <c r="C105" s="80">
        <v>0</v>
      </c>
      <c r="D105" s="80">
        <v>0</v>
      </c>
      <c r="E105" s="80">
        <v>0</v>
      </c>
    </row>
    <row r="106" spans="1:5" s="82" customFormat="1" ht="66.75" customHeight="1">
      <c r="A106" s="184" t="s">
        <v>884</v>
      </c>
      <c r="B106" s="83" t="s">
        <v>949</v>
      </c>
      <c r="C106" s="80">
        <v>0</v>
      </c>
      <c r="D106" s="80">
        <v>0</v>
      </c>
      <c r="E106" s="80">
        <v>0</v>
      </c>
    </row>
    <row r="107" spans="1:5" s="57" customFormat="1" ht="47.25" customHeight="1">
      <c r="A107" s="182" t="s">
        <v>466</v>
      </c>
      <c r="B107" s="83" t="s">
        <v>948</v>
      </c>
      <c r="C107" s="80">
        <v>-1042.7</v>
      </c>
      <c r="D107" s="80">
        <v>0</v>
      </c>
      <c r="E107" s="80">
        <v>0</v>
      </c>
    </row>
    <row r="108" spans="1:5" ht="42" customHeight="1">
      <c r="A108" s="178" t="s">
        <v>126</v>
      </c>
      <c r="B108" s="51">
        <v>958</v>
      </c>
      <c r="C108" s="44">
        <f>C109</f>
        <v>341.90000000000003</v>
      </c>
      <c r="D108" s="44">
        <f t="shared" ref="D108:E108" si="6">D109</f>
        <v>0</v>
      </c>
      <c r="E108" s="44">
        <f t="shared" si="6"/>
        <v>0</v>
      </c>
    </row>
    <row r="109" spans="1:5" ht="42" customHeight="1">
      <c r="A109" s="179" t="s">
        <v>66</v>
      </c>
      <c r="B109" s="52" t="s">
        <v>687</v>
      </c>
      <c r="C109" s="45">
        <f>324.8+17.1</f>
        <v>341.90000000000003</v>
      </c>
      <c r="D109" s="45">
        <v>0</v>
      </c>
      <c r="E109" s="45">
        <v>0</v>
      </c>
    </row>
    <row r="110" spans="1:5" ht="42" customHeight="1">
      <c r="A110" s="178" t="s">
        <v>29</v>
      </c>
      <c r="B110" s="51" t="s">
        <v>60</v>
      </c>
      <c r="C110" s="44">
        <f>C111+C112+C115+C116+C117+C119+C120+C121+C122+C114+C113+C118</f>
        <v>14587.300000000001</v>
      </c>
      <c r="D110" s="44">
        <f t="shared" ref="D110:E110" si="7">D111+D112+D115+D116+D117+D119+D120+D121+D122+D114+D113+D118</f>
        <v>10974.9</v>
      </c>
      <c r="E110" s="44">
        <f t="shared" si="7"/>
        <v>10983.7</v>
      </c>
    </row>
    <row r="111" spans="1:5" ht="50.25" customHeight="1">
      <c r="A111" s="179" t="s">
        <v>144</v>
      </c>
      <c r="B111" s="52" t="s">
        <v>145</v>
      </c>
      <c r="C111" s="45">
        <f>40+140</f>
        <v>180</v>
      </c>
      <c r="D111" s="74">
        <v>40</v>
      </c>
      <c r="E111" s="74">
        <v>40</v>
      </c>
    </row>
    <row r="112" spans="1:5" ht="77.25" customHeight="1">
      <c r="A112" s="179" t="s">
        <v>61</v>
      </c>
      <c r="B112" s="52" t="s">
        <v>146</v>
      </c>
      <c r="C112" s="45">
        <f>3188+1207.3</f>
        <v>4395.3</v>
      </c>
      <c r="D112" s="74">
        <v>3244</v>
      </c>
      <c r="E112" s="74">
        <v>3225</v>
      </c>
    </row>
    <row r="113" spans="1:5" s="57" customFormat="1" ht="87.75" customHeight="1">
      <c r="A113" s="182" t="s">
        <v>28</v>
      </c>
      <c r="B113" s="83" t="s">
        <v>950</v>
      </c>
      <c r="C113" s="80">
        <f>7088.2-1000</f>
        <v>6088.2</v>
      </c>
      <c r="D113" s="80">
        <v>5670.6</v>
      </c>
      <c r="E113" s="80">
        <v>5670.6</v>
      </c>
    </row>
    <row r="114" spans="1:5" ht="40.5" customHeight="1">
      <c r="A114" s="185" t="s">
        <v>836</v>
      </c>
      <c r="B114" s="117" t="s">
        <v>835</v>
      </c>
      <c r="C114" s="45">
        <f>110.3</f>
        <v>110.3</v>
      </c>
      <c r="D114" s="77">
        <v>0</v>
      </c>
      <c r="E114" s="77">
        <v>0</v>
      </c>
    </row>
    <row r="115" spans="1:5" ht="78.75" customHeight="1">
      <c r="A115" s="179" t="s">
        <v>285</v>
      </c>
      <c r="B115" s="52" t="s">
        <v>277</v>
      </c>
      <c r="C115" s="45">
        <v>110.1</v>
      </c>
      <c r="D115" s="74">
        <v>100</v>
      </c>
      <c r="E115" s="74">
        <v>90</v>
      </c>
    </row>
    <row r="116" spans="1:5" ht="67.5" customHeight="1">
      <c r="A116" s="179" t="s">
        <v>118</v>
      </c>
      <c r="B116" s="52" t="s">
        <v>119</v>
      </c>
      <c r="C116" s="45">
        <f>146</f>
        <v>146</v>
      </c>
      <c r="D116" s="74">
        <f>146</f>
        <v>146</v>
      </c>
      <c r="E116" s="74">
        <f>146</f>
        <v>146</v>
      </c>
    </row>
    <row r="117" spans="1:5" ht="51.75" customHeight="1">
      <c r="A117" s="179" t="s">
        <v>442</v>
      </c>
      <c r="B117" s="52" t="s">
        <v>441</v>
      </c>
      <c r="C117" s="45">
        <v>0</v>
      </c>
      <c r="D117" s="45">
        <v>0</v>
      </c>
      <c r="E117" s="45">
        <v>0</v>
      </c>
    </row>
    <row r="118" spans="1:5" ht="37.5" customHeight="1">
      <c r="A118" s="179" t="s">
        <v>1428</v>
      </c>
      <c r="B118" s="52" t="s">
        <v>1427</v>
      </c>
      <c r="C118" s="45">
        <v>337.1</v>
      </c>
      <c r="D118" s="45">
        <v>0</v>
      </c>
      <c r="E118" s="45">
        <v>0</v>
      </c>
    </row>
    <row r="119" spans="1:5" ht="63" customHeight="1">
      <c r="A119" s="179" t="s">
        <v>147</v>
      </c>
      <c r="B119" s="52" t="s">
        <v>148</v>
      </c>
      <c r="C119" s="45">
        <f>829.9-42.5</f>
        <v>787.4</v>
      </c>
      <c r="D119" s="74">
        <v>829.9</v>
      </c>
      <c r="E119" s="74">
        <v>829.9</v>
      </c>
    </row>
    <row r="120" spans="1:5" s="57" customFormat="1" ht="39" customHeight="1">
      <c r="A120" s="182" t="s">
        <v>66</v>
      </c>
      <c r="B120" s="83" t="s">
        <v>687</v>
      </c>
      <c r="C120" s="80">
        <v>32.9</v>
      </c>
      <c r="D120" s="87">
        <v>0</v>
      </c>
      <c r="E120" s="87">
        <v>0</v>
      </c>
    </row>
    <row r="121" spans="1:5" ht="88.5" hidden="1" customHeight="1">
      <c r="A121" s="179" t="s">
        <v>710</v>
      </c>
      <c r="B121" s="52" t="s">
        <v>709</v>
      </c>
      <c r="C121" s="45"/>
      <c r="D121" s="77"/>
      <c r="E121" s="77"/>
    </row>
    <row r="122" spans="1:5" ht="88.5" customHeight="1">
      <c r="A122" s="179" t="s">
        <v>439</v>
      </c>
      <c r="B122" s="52" t="s">
        <v>440</v>
      </c>
      <c r="C122" s="45">
        <f>908.1+791.9+700</f>
        <v>2400</v>
      </c>
      <c r="D122" s="74">
        <v>944.4</v>
      </c>
      <c r="E122" s="74">
        <v>982.2</v>
      </c>
    </row>
    <row r="123" spans="1:5" ht="72" customHeight="1">
      <c r="A123" s="178" t="s">
        <v>284</v>
      </c>
      <c r="B123" s="51" t="s">
        <v>41</v>
      </c>
      <c r="C123" s="44">
        <f>C124+C125+C126+C127+C128+C129+C130+C131+C132</f>
        <v>46027.399999999994</v>
      </c>
      <c r="D123" s="44">
        <f>D124+D125+D126+D127+D128+D129+D130+D131+D132</f>
        <v>32500</v>
      </c>
      <c r="E123" s="44">
        <f>E124+E125+E126+E127+E128+E129+E130+E131+E132</f>
        <v>30000</v>
      </c>
    </row>
    <row r="124" spans="1:5" ht="90" customHeight="1">
      <c r="A124" s="179" t="s">
        <v>149</v>
      </c>
      <c r="B124" s="52" t="s">
        <v>150</v>
      </c>
      <c r="C124" s="45">
        <v>27000</v>
      </c>
      <c r="D124" s="74">
        <v>27000</v>
      </c>
      <c r="E124" s="74">
        <v>25000</v>
      </c>
    </row>
    <row r="125" spans="1:5" ht="95.25" customHeight="1">
      <c r="A125" s="179" t="s">
        <v>27</v>
      </c>
      <c r="B125" s="52" t="s">
        <v>140</v>
      </c>
      <c r="C125" s="45">
        <f>2000-41.5-558.5</f>
        <v>1400</v>
      </c>
      <c r="D125" s="74">
        <v>1500</v>
      </c>
      <c r="E125" s="74">
        <v>1000</v>
      </c>
    </row>
    <row r="126" spans="1:5" ht="44.25" customHeight="1">
      <c r="A126" s="179" t="s">
        <v>836</v>
      </c>
      <c r="B126" s="52" t="s">
        <v>837</v>
      </c>
      <c r="C126" s="45">
        <f>40.9+39.4</f>
        <v>80.3</v>
      </c>
      <c r="D126" s="100">
        <v>0</v>
      </c>
      <c r="E126" s="100">
        <v>0</v>
      </c>
    </row>
    <row r="127" spans="1:5" ht="111" customHeight="1">
      <c r="A127" s="179" t="s">
        <v>151</v>
      </c>
      <c r="B127" s="52" t="s">
        <v>152</v>
      </c>
      <c r="C127" s="45">
        <f>8000-4000+2268.9+682.7+3500+1500-1585.3</f>
        <v>10366.299999999999</v>
      </c>
      <c r="D127" s="77">
        <v>0</v>
      </c>
      <c r="E127" s="77">
        <v>0</v>
      </c>
    </row>
    <row r="128" spans="1:5" ht="63" customHeight="1">
      <c r="A128" s="179" t="s">
        <v>153</v>
      </c>
      <c r="B128" s="52" t="s">
        <v>154</v>
      </c>
      <c r="C128" s="45">
        <f>5000+642.7+1500</f>
        <v>7142.7</v>
      </c>
      <c r="D128" s="74">
        <v>4000</v>
      </c>
      <c r="E128" s="74">
        <v>4000</v>
      </c>
    </row>
    <row r="129" spans="1:5" ht="71.25" customHeight="1">
      <c r="A129" s="179" t="s">
        <v>843</v>
      </c>
      <c r="B129" s="52" t="s">
        <v>842</v>
      </c>
      <c r="C129" s="45">
        <v>37.1</v>
      </c>
      <c r="D129" s="45">
        <v>0</v>
      </c>
      <c r="E129" s="45">
        <v>0</v>
      </c>
    </row>
    <row r="130" spans="1:5" ht="45.75" customHeight="1">
      <c r="A130" s="179" t="s">
        <v>118</v>
      </c>
      <c r="B130" s="52" t="s">
        <v>838</v>
      </c>
      <c r="C130" s="45">
        <f>0.6+0.4</f>
        <v>1</v>
      </c>
      <c r="D130" s="45">
        <v>0</v>
      </c>
      <c r="E130" s="45">
        <v>0</v>
      </c>
    </row>
    <row r="131" spans="1:5" ht="39" hidden="1" customHeight="1">
      <c r="A131" s="67" t="s">
        <v>442</v>
      </c>
      <c r="B131" s="52" t="s">
        <v>441</v>
      </c>
      <c r="C131" s="45"/>
      <c r="D131" s="45"/>
      <c r="E131" s="45"/>
    </row>
    <row r="132" spans="1:5" ht="44.25" hidden="1" customHeight="1">
      <c r="A132" s="67" t="s">
        <v>66</v>
      </c>
      <c r="B132" s="52" t="s">
        <v>687</v>
      </c>
      <c r="C132" s="45"/>
      <c r="D132" s="45"/>
      <c r="E132" s="45"/>
    </row>
    <row r="133" spans="1:5" ht="25.5" customHeight="1">
      <c r="A133" s="221" t="s">
        <v>157</v>
      </c>
      <c r="B133" s="222"/>
      <c r="C133" s="44">
        <f>1165700.5+8223.2-1042.7-5000+324.8+6661+1300+10752.7+310.7+8418.5+32806+8283.6+161.1+100+32.4+35+271.6+1500+2268.9+1207.3+682.7+12.7+3+471.7+270.1+3500+1999.7+1500+1244.9+5269.5+1156.7-599.9-1585.3+163697.3</f>
        <v>1419937.7</v>
      </c>
      <c r="D133" s="44">
        <f>1100993.1+2703.8+599.9</f>
        <v>1104296.8</v>
      </c>
      <c r="E133" s="44">
        <f>1104024.5+6243.4</f>
        <v>1110267.8999999999</v>
      </c>
    </row>
    <row r="134" spans="1:5" hidden="1">
      <c r="A134" s="53"/>
      <c r="B134" s="54"/>
      <c r="C134" s="54"/>
      <c r="D134" s="78"/>
      <c r="E134" s="78"/>
    </row>
    <row r="135" spans="1:5" ht="25.5" customHeight="1">
      <c r="A135" s="55"/>
      <c r="B135" s="40"/>
      <c r="C135" s="68">
        <f>C15+C11+C26+C31+C36+C38+C40+C61+C69+C71+C79+C110+C123+C33+C22+C108+C73+C9+C77+C13+C75</f>
        <v>1419937.6999999997</v>
      </c>
      <c r="D135" s="68">
        <f>D15+D11+D26+D31+D36+D38+D40+D61+D69+D71+D79+D110+D123+D33+D22+D108+D73+D9+D77+D13+D75</f>
        <v>1104296.7999999998</v>
      </c>
      <c r="E135" s="68">
        <f>E15+E11+E26+E31+E36+E38+E40+E61+E69+E71+E79+E110+E123+E33+E22+E108+E73+E9+E77+E13+E75</f>
        <v>1110167.8999999999</v>
      </c>
    </row>
    <row r="136" spans="1:5">
      <c r="A136" s="55"/>
      <c r="B136" s="40"/>
      <c r="C136" s="40"/>
    </row>
    <row r="147" spans="2:2">
      <c r="B147" s="46"/>
    </row>
  </sheetData>
  <mergeCells count="8">
    <mergeCell ref="A1:E1"/>
    <mergeCell ref="A2:E2"/>
    <mergeCell ref="A5:E5"/>
    <mergeCell ref="C6:E7"/>
    <mergeCell ref="A133:B133"/>
    <mergeCell ref="A6:A8"/>
    <mergeCell ref="B6:B8"/>
    <mergeCell ref="A3:E3"/>
  </mergeCells>
  <phoneticPr fontId="2" type="noConversion"/>
  <pageMargins left="1.1811023622047245" right="0.39370078740157483" top="0.78740157480314965" bottom="0.78740157480314965" header="0.31496062992125984" footer="0.19685039370078741"/>
  <pageSetup paperSize="9" scale="70" firstPageNumber="11" fitToHeight="0" orientation="portrait" useFirstPageNumber="1" r:id="rId1"/>
  <headerFooter>
    <oddHeader>&amp;C&amp;P</oddHeader>
  </headerFooter>
  <rowBreaks count="6" manualBreakCount="6">
    <brk id="22" max="4" man="1"/>
    <brk id="38" max="4" man="1"/>
    <brk id="58" max="4" man="1"/>
    <brk id="74" max="4" man="1"/>
    <brk id="93" max="4" man="1"/>
    <brk id="111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 enableFormatConditionsCalculation="0">
    <tabColor rgb="FF00B0F0"/>
  </sheetPr>
  <dimension ref="A1:K100"/>
  <sheetViews>
    <sheetView view="pageBreakPreview" zoomScale="110" zoomScaleNormal="75" zoomScaleSheetLayoutView="110" workbookViewId="0">
      <selection activeCell="M7" sqref="M7"/>
    </sheetView>
  </sheetViews>
  <sheetFormatPr defaultColWidth="10.6640625" defaultRowHeight="12.75"/>
  <cols>
    <col min="1" max="1" width="4.77734375" style="5" customWidth="1"/>
    <col min="2" max="2" width="29.77734375" style="62" customWidth="1"/>
    <col min="3" max="3" width="4.109375" style="61" customWidth="1"/>
    <col min="4" max="4" width="5.6640625" style="41" customWidth="1"/>
    <col min="5" max="5" width="6.77734375" style="41" customWidth="1"/>
    <col min="6" max="6" width="4.88671875" style="41" hidden="1" customWidth="1"/>
    <col min="7" max="7" width="4.77734375" style="41" customWidth="1"/>
    <col min="8" max="8" width="8.44140625" style="42" customWidth="1"/>
    <col min="9" max="10" width="8.109375" style="41" customWidth="1"/>
    <col min="11" max="16384" width="10.6640625" style="2"/>
  </cols>
  <sheetData>
    <row r="1" spans="1:10" s="3" customFormat="1" ht="116.25" customHeight="1">
      <c r="A1" s="5"/>
      <c r="B1" s="62"/>
      <c r="C1" s="225" t="s">
        <v>237</v>
      </c>
      <c r="D1" s="225"/>
      <c r="E1" s="225"/>
      <c r="F1" s="225"/>
      <c r="G1" s="225"/>
      <c r="H1" s="225"/>
      <c r="I1" s="225"/>
      <c r="J1" s="225"/>
    </row>
    <row r="2" spans="1:10" ht="15.75" customHeight="1">
      <c r="A2" s="246" t="s">
        <v>0</v>
      </c>
      <c r="B2" s="246"/>
      <c r="C2" s="246"/>
      <c r="D2" s="246"/>
      <c r="E2" s="246"/>
      <c r="F2" s="246"/>
      <c r="G2" s="246"/>
      <c r="H2" s="246"/>
      <c r="I2" s="246"/>
      <c r="J2" s="246"/>
    </row>
    <row r="3" spans="1:10" ht="17.25" customHeight="1">
      <c r="A3" s="246" t="s">
        <v>239</v>
      </c>
      <c r="B3" s="246"/>
      <c r="C3" s="246"/>
      <c r="D3" s="246"/>
      <c r="E3" s="246"/>
      <c r="F3" s="246"/>
      <c r="G3" s="246"/>
      <c r="H3" s="246"/>
      <c r="I3" s="246"/>
      <c r="J3" s="246"/>
    </row>
    <row r="4" spans="1:10" ht="18.75" customHeight="1">
      <c r="A4" s="246" t="s">
        <v>238</v>
      </c>
      <c r="B4" s="246"/>
      <c r="C4" s="246"/>
      <c r="D4" s="246"/>
      <c r="E4" s="246"/>
      <c r="F4" s="246"/>
      <c r="G4" s="246"/>
      <c r="H4" s="246"/>
      <c r="I4" s="246"/>
      <c r="J4" s="246"/>
    </row>
    <row r="6" spans="1:10" ht="15">
      <c r="J6" s="43" t="s">
        <v>1</v>
      </c>
    </row>
    <row r="7" spans="1:10" ht="76.5" customHeight="1">
      <c r="A7" s="30" t="s">
        <v>63</v>
      </c>
      <c r="B7" s="254" t="s">
        <v>242</v>
      </c>
      <c r="C7" s="255"/>
      <c r="D7" s="31" t="s">
        <v>241</v>
      </c>
      <c r="E7" s="31" t="s">
        <v>55</v>
      </c>
      <c r="F7" s="31" t="s">
        <v>56</v>
      </c>
      <c r="G7" s="31" t="s">
        <v>54</v>
      </c>
      <c r="H7" s="32" t="s">
        <v>108</v>
      </c>
      <c r="I7" s="32" t="s">
        <v>205</v>
      </c>
      <c r="J7" s="32" t="s">
        <v>240</v>
      </c>
    </row>
    <row r="8" spans="1:10" ht="76.5" customHeight="1">
      <c r="A8" s="228" t="s">
        <v>31</v>
      </c>
      <c r="B8" s="232"/>
      <c r="C8" s="232"/>
      <c r="D8" s="25"/>
      <c r="E8" s="26"/>
      <c r="F8" s="26"/>
      <c r="G8" s="25"/>
      <c r="H8" s="58">
        <f>SUM(H9:H10)</f>
        <v>0</v>
      </c>
      <c r="I8" s="58">
        <f>SUM(I9:I10)</f>
        <v>0</v>
      </c>
      <c r="J8" s="58">
        <f>SUM(J9:J10)</f>
        <v>0</v>
      </c>
    </row>
    <row r="9" spans="1:10" ht="21" customHeight="1">
      <c r="A9" s="245"/>
      <c r="B9" s="248"/>
      <c r="C9" s="249"/>
      <c r="D9" s="25"/>
      <c r="E9" s="26"/>
      <c r="F9" s="25"/>
      <c r="G9" s="25"/>
      <c r="H9" s="59"/>
      <c r="I9" s="59"/>
      <c r="J9" s="59"/>
    </row>
    <row r="10" spans="1:10" ht="21.75" customHeight="1">
      <c r="A10" s="229"/>
      <c r="B10" s="250"/>
      <c r="C10" s="251"/>
      <c r="D10" s="25"/>
      <c r="E10" s="26"/>
      <c r="F10" s="25"/>
      <c r="G10" s="25"/>
      <c r="H10" s="29"/>
      <c r="I10" s="29"/>
      <c r="J10" s="29"/>
    </row>
    <row r="11" spans="1:10" ht="66" customHeight="1">
      <c r="A11" s="228" t="s">
        <v>32</v>
      </c>
      <c r="B11" s="232"/>
      <c r="C11" s="232"/>
      <c r="D11" s="25"/>
      <c r="E11" s="26"/>
      <c r="F11" s="26"/>
      <c r="G11" s="25"/>
      <c r="H11" s="58">
        <f>SUM(H12:H16)</f>
        <v>0</v>
      </c>
      <c r="I11" s="58">
        <f>SUM(I12:I16)</f>
        <v>0</v>
      </c>
      <c r="J11" s="58">
        <f>SUM(J12:J16)</f>
        <v>0</v>
      </c>
    </row>
    <row r="12" spans="1:10" ht="62.25" customHeight="1">
      <c r="A12" s="245"/>
      <c r="B12" s="233"/>
      <c r="C12" s="233"/>
      <c r="D12" s="25"/>
      <c r="E12" s="26"/>
      <c r="F12" s="26"/>
      <c r="G12" s="25"/>
      <c r="H12" s="59"/>
      <c r="I12" s="59"/>
      <c r="J12" s="59"/>
    </row>
    <row r="13" spans="1:10" ht="45.75" customHeight="1">
      <c r="A13" s="245"/>
      <c r="B13" s="233"/>
      <c r="C13" s="233"/>
      <c r="D13" s="25"/>
      <c r="E13" s="26"/>
      <c r="F13" s="25"/>
      <c r="G13" s="25"/>
      <c r="H13" s="59"/>
      <c r="I13" s="59"/>
      <c r="J13" s="59"/>
    </row>
    <row r="14" spans="1:10" ht="42" hidden="1" customHeight="1">
      <c r="A14" s="245"/>
      <c r="B14" s="241"/>
      <c r="C14" s="241"/>
      <c r="D14" s="27"/>
      <c r="E14" s="28"/>
      <c r="F14" s="28"/>
      <c r="G14" s="27"/>
      <c r="H14" s="34"/>
      <c r="I14" s="34"/>
      <c r="J14" s="34"/>
    </row>
    <row r="15" spans="1:10" ht="23.25" hidden="1" customHeight="1">
      <c r="A15" s="245"/>
      <c r="B15" s="244"/>
      <c r="C15" s="244"/>
      <c r="D15" s="27"/>
      <c r="E15" s="28"/>
      <c r="F15" s="28"/>
      <c r="G15" s="27"/>
      <c r="H15" s="35"/>
      <c r="I15" s="35"/>
      <c r="J15" s="35"/>
    </row>
    <row r="16" spans="1:10" ht="43.5" customHeight="1">
      <c r="A16" s="229"/>
      <c r="B16" s="252"/>
      <c r="C16" s="253"/>
      <c r="D16" s="27"/>
      <c r="E16" s="28"/>
      <c r="F16" s="28"/>
      <c r="G16" s="27"/>
      <c r="H16" s="35"/>
      <c r="I16" s="35"/>
      <c r="J16" s="35"/>
    </row>
    <row r="17" spans="1:11" ht="39" customHeight="1">
      <c r="A17" s="234" t="s">
        <v>33</v>
      </c>
      <c r="B17" s="241"/>
      <c r="C17" s="240"/>
      <c r="D17" s="27"/>
      <c r="E17" s="28"/>
      <c r="F17" s="28"/>
      <c r="G17" s="27"/>
      <c r="H17" s="58">
        <f>SUM(H18:H22)</f>
        <v>0</v>
      </c>
      <c r="I17" s="58">
        <f>SUM(I18:I22)</f>
        <v>0</v>
      </c>
      <c r="J17" s="58">
        <f>SUM(J18:J22)</f>
        <v>0</v>
      </c>
    </row>
    <row r="18" spans="1:11" ht="43.5" customHeight="1">
      <c r="A18" s="234"/>
      <c r="B18" s="233"/>
      <c r="C18" s="233"/>
      <c r="D18" s="25"/>
      <c r="E18" s="26"/>
      <c r="F18" s="25"/>
      <c r="G18" s="25"/>
      <c r="H18" s="59"/>
      <c r="I18" s="59"/>
      <c r="J18" s="59"/>
    </row>
    <row r="19" spans="1:11" ht="36.75" customHeight="1">
      <c r="A19" s="234"/>
      <c r="B19" s="233"/>
      <c r="C19" s="233"/>
      <c r="D19" s="38"/>
      <c r="E19" s="26"/>
      <c r="F19" s="25"/>
      <c r="G19" s="25"/>
      <c r="H19" s="59"/>
      <c r="I19" s="59"/>
      <c r="J19" s="59"/>
    </row>
    <row r="20" spans="1:11" ht="18.75" customHeight="1">
      <c r="A20" s="234"/>
      <c r="B20" s="248"/>
      <c r="C20" s="249"/>
      <c r="D20" s="25"/>
      <c r="E20" s="26"/>
      <c r="F20" s="25"/>
      <c r="G20" s="25"/>
      <c r="H20" s="59"/>
      <c r="I20" s="59"/>
      <c r="J20" s="59"/>
    </row>
    <row r="21" spans="1:11" ht="28.5" customHeight="1">
      <c r="A21" s="234"/>
      <c r="B21" s="250"/>
      <c r="C21" s="251"/>
      <c r="D21" s="25"/>
      <c r="E21" s="26"/>
      <c r="F21" s="25"/>
      <c r="G21" s="25"/>
      <c r="H21" s="59"/>
      <c r="I21" s="59"/>
      <c r="J21" s="59"/>
    </row>
    <row r="22" spans="1:11" ht="33" customHeight="1">
      <c r="A22" s="234"/>
      <c r="B22" s="247"/>
      <c r="C22" s="247"/>
      <c r="D22" s="25"/>
      <c r="E22" s="26"/>
      <c r="F22" s="26"/>
      <c r="G22" s="25"/>
      <c r="H22" s="59"/>
      <c r="I22" s="59"/>
      <c r="J22" s="59"/>
    </row>
    <row r="23" spans="1:11" ht="63" customHeight="1">
      <c r="A23" s="234" t="s">
        <v>34</v>
      </c>
      <c r="B23" s="232"/>
      <c r="C23" s="235"/>
      <c r="D23" s="25"/>
      <c r="E23" s="26"/>
      <c r="F23" s="26"/>
      <c r="G23" s="25"/>
      <c r="H23" s="58">
        <f>SUM(H24)</f>
        <v>0</v>
      </c>
      <c r="I23" s="58">
        <f>SUM(I24)</f>
        <v>0</v>
      </c>
      <c r="J23" s="58">
        <f>SUM(J24)</f>
        <v>0</v>
      </c>
    </row>
    <row r="24" spans="1:11" ht="51.75" customHeight="1">
      <c r="A24" s="234"/>
      <c r="B24" s="236"/>
      <c r="C24" s="237"/>
      <c r="D24" s="25"/>
      <c r="E24" s="26"/>
      <c r="F24" s="26"/>
      <c r="G24" s="25"/>
      <c r="H24" s="29"/>
      <c r="I24" s="29"/>
      <c r="J24" s="29"/>
    </row>
    <row r="25" spans="1:11" ht="106.5" customHeight="1">
      <c r="A25" s="234" t="s">
        <v>35</v>
      </c>
      <c r="B25" s="232"/>
      <c r="C25" s="232"/>
      <c r="D25" s="25"/>
      <c r="E25" s="26"/>
      <c r="F25" s="25"/>
      <c r="G25" s="25"/>
      <c r="H25" s="58">
        <f>SUM(H26)</f>
        <v>0</v>
      </c>
      <c r="I25" s="58">
        <f>SUM(I26)</f>
        <v>0</v>
      </c>
      <c r="J25" s="58">
        <f>SUM(J26)</f>
        <v>0</v>
      </c>
    </row>
    <row r="26" spans="1:11" ht="33" customHeight="1">
      <c r="A26" s="234"/>
      <c r="B26" s="233"/>
      <c r="C26" s="233"/>
      <c r="D26" s="25"/>
      <c r="E26" s="26"/>
      <c r="F26" s="25"/>
      <c r="G26" s="25"/>
      <c r="H26" s="60"/>
      <c r="I26" s="60"/>
      <c r="J26" s="60"/>
      <c r="K26" s="39"/>
    </row>
    <row r="27" spans="1:11" ht="126" customHeight="1">
      <c r="A27" s="228" t="s">
        <v>68</v>
      </c>
      <c r="B27" s="232"/>
      <c r="C27" s="232"/>
      <c r="D27" s="25"/>
      <c r="E27" s="26"/>
      <c r="F27" s="25"/>
      <c r="G27" s="25"/>
      <c r="H27" s="58">
        <f>H28</f>
        <v>0</v>
      </c>
      <c r="I27" s="58">
        <f>I28</f>
        <v>0</v>
      </c>
      <c r="J27" s="58">
        <f>J28</f>
        <v>0</v>
      </c>
    </row>
    <row r="28" spans="1:11" ht="32.25" customHeight="1">
      <c r="A28" s="229"/>
      <c r="B28" s="233"/>
      <c r="C28" s="233"/>
      <c r="D28" s="25"/>
      <c r="E28" s="26"/>
      <c r="F28" s="25"/>
      <c r="G28" s="25"/>
      <c r="H28" s="60"/>
      <c r="I28" s="60"/>
      <c r="J28" s="60"/>
      <c r="K28" s="39"/>
    </row>
    <row r="29" spans="1:11" ht="63.75" customHeight="1">
      <c r="A29" s="228" t="s">
        <v>69</v>
      </c>
      <c r="B29" s="232"/>
      <c r="C29" s="232"/>
      <c r="D29" s="25"/>
      <c r="E29" s="26"/>
      <c r="F29" s="25"/>
      <c r="G29" s="25"/>
      <c r="H29" s="58">
        <f>H30</f>
        <v>0</v>
      </c>
      <c r="I29" s="58">
        <f>I30</f>
        <v>0</v>
      </c>
      <c r="J29" s="58">
        <f>J30</f>
        <v>0</v>
      </c>
    </row>
    <row r="30" spans="1:11" ht="25.5" customHeight="1">
      <c r="A30" s="229"/>
      <c r="B30" s="233"/>
      <c r="C30" s="233"/>
      <c r="D30" s="25"/>
      <c r="E30" s="26"/>
      <c r="F30" s="25"/>
      <c r="G30" s="25"/>
      <c r="H30" s="60"/>
      <c r="I30" s="60"/>
      <c r="J30" s="60"/>
      <c r="K30" s="39"/>
    </row>
    <row r="31" spans="1:11" ht="74.25" customHeight="1">
      <c r="A31" s="228" t="s">
        <v>70</v>
      </c>
      <c r="B31" s="230"/>
      <c r="C31" s="231"/>
      <c r="D31" s="25"/>
      <c r="E31" s="26"/>
      <c r="F31" s="25"/>
      <c r="G31" s="25"/>
      <c r="H31" s="58">
        <f>SUM(H32:H34)</f>
        <v>0</v>
      </c>
      <c r="I31" s="58">
        <f>SUM(I32:I34)</f>
        <v>0</v>
      </c>
      <c r="J31" s="58">
        <f>SUM(J32:J34)</f>
        <v>0</v>
      </c>
    </row>
    <row r="32" spans="1:11" ht="41.25" customHeight="1">
      <c r="A32" s="245"/>
      <c r="B32" s="226"/>
      <c r="C32" s="227"/>
      <c r="D32" s="25"/>
      <c r="E32" s="26"/>
      <c r="F32" s="25"/>
      <c r="G32" s="25"/>
      <c r="H32" s="59"/>
      <c r="I32" s="59"/>
      <c r="J32" s="59"/>
    </row>
    <row r="33" spans="1:10" ht="33.75" customHeight="1">
      <c r="A33" s="245"/>
      <c r="B33" s="226"/>
      <c r="C33" s="227"/>
      <c r="D33" s="25"/>
      <c r="E33" s="26"/>
      <c r="F33" s="25"/>
      <c r="G33" s="25"/>
      <c r="H33" s="59"/>
      <c r="I33" s="59"/>
      <c r="J33" s="59"/>
    </row>
    <row r="34" spans="1:10" ht="59.25" customHeight="1">
      <c r="A34" s="229"/>
      <c r="B34" s="226"/>
      <c r="C34" s="227"/>
      <c r="D34" s="25"/>
      <c r="E34" s="26"/>
      <c r="F34" s="25"/>
      <c r="G34" s="25"/>
      <c r="H34" s="59"/>
      <c r="I34" s="59"/>
      <c r="J34" s="59"/>
    </row>
    <row r="35" spans="1:10" ht="65.25" customHeight="1">
      <c r="A35" s="228" t="s">
        <v>71</v>
      </c>
      <c r="B35" s="230"/>
      <c r="C35" s="231"/>
      <c r="D35" s="25"/>
      <c r="E35" s="26"/>
      <c r="F35" s="25"/>
      <c r="G35" s="25"/>
      <c r="H35" s="58">
        <f>H36</f>
        <v>0</v>
      </c>
      <c r="I35" s="58">
        <f>I36</f>
        <v>0</v>
      </c>
      <c r="J35" s="58">
        <f>J36</f>
        <v>0</v>
      </c>
    </row>
    <row r="36" spans="1:10" ht="38.25" customHeight="1">
      <c r="A36" s="229"/>
      <c r="B36" s="226"/>
      <c r="C36" s="227"/>
      <c r="D36" s="25"/>
      <c r="E36" s="26"/>
      <c r="F36" s="25"/>
      <c r="G36" s="25"/>
      <c r="H36" s="29"/>
      <c r="I36" s="29"/>
      <c r="J36" s="29"/>
    </row>
    <row r="37" spans="1:10" ht="54" customHeight="1">
      <c r="A37" s="228" t="s">
        <v>72</v>
      </c>
      <c r="B37" s="230"/>
      <c r="C37" s="231"/>
      <c r="D37" s="25"/>
      <c r="E37" s="26"/>
      <c r="F37" s="25"/>
      <c r="G37" s="25"/>
      <c r="H37" s="58">
        <f>SUM(H38:H40)</f>
        <v>0</v>
      </c>
      <c r="I37" s="58">
        <f>SUM(I38:I40)</f>
        <v>0</v>
      </c>
      <c r="J37" s="58">
        <f>SUM(J38:J40)</f>
        <v>0</v>
      </c>
    </row>
    <row r="38" spans="1:10" ht="22.5" customHeight="1">
      <c r="A38" s="245"/>
      <c r="B38" s="248"/>
      <c r="C38" s="249"/>
      <c r="D38" s="25"/>
      <c r="E38" s="26"/>
      <c r="F38" s="25"/>
      <c r="G38" s="25"/>
      <c r="H38" s="59"/>
      <c r="I38" s="59"/>
      <c r="J38" s="59"/>
    </row>
    <row r="39" spans="1:10" ht="26.25" customHeight="1">
      <c r="A39" s="245"/>
      <c r="B39" s="250"/>
      <c r="C39" s="251"/>
      <c r="D39" s="25"/>
      <c r="E39" s="26"/>
      <c r="F39" s="25"/>
      <c r="G39" s="25"/>
      <c r="H39" s="29"/>
      <c r="I39" s="29"/>
      <c r="J39" s="29"/>
    </row>
    <row r="40" spans="1:10" ht="26.25" customHeight="1">
      <c r="A40" s="229"/>
      <c r="B40" s="226"/>
      <c r="C40" s="227"/>
      <c r="D40" s="25"/>
      <c r="E40" s="26"/>
      <c r="F40" s="25"/>
      <c r="G40" s="25"/>
      <c r="H40" s="29"/>
      <c r="I40" s="29"/>
      <c r="J40" s="29"/>
    </row>
    <row r="41" spans="1:10" ht="63.75" customHeight="1">
      <c r="A41" s="228" t="s">
        <v>73</v>
      </c>
      <c r="B41" s="230"/>
      <c r="C41" s="231"/>
      <c r="D41" s="25"/>
      <c r="E41" s="26"/>
      <c r="F41" s="25"/>
      <c r="G41" s="25"/>
      <c r="H41" s="58">
        <f>SUM(H42:H43)</f>
        <v>0</v>
      </c>
      <c r="I41" s="58">
        <f>SUM(I42:I43)</f>
        <v>0</v>
      </c>
      <c r="J41" s="58">
        <f>SUM(J42:J43)</f>
        <v>0</v>
      </c>
    </row>
    <row r="42" spans="1:10" ht="39.75" customHeight="1">
      <c r="A42" s="245"/>
      <c r="B42" s="226"/>
      <c r="C42" s="227"/>
      <c r="D42" s="25"/>
      <c r="E42" s="26"/>
      <c r="F42" s="25"/>
      <c r="G42" s="25"/>
      <c r="H42" s="59"/>
      <c r="I42" s="59"/>
      <c r="J42" s="59"/>
    </row>
    <row r="43" spans="1:10" ht="28.5" customHeight="1">
      <c r="A43" s="229"/>
      <c r="B43" s="226"/>
      <c r="C43" s="227"/>
      <c r="D43" s="25"/>
      <c r="E43" s="26"/>
      <c r="F43" s="25"/>
      <c r="G43" s="25"/>
      <c r="H43" s="29"/>
      <c r="I43" s="29"/>
      <c r="J43" s="29"/>
    </row>
    <row r="44" spans="1:10" ht="86.25" customHeight="1">
      <c r="A44" s="234" t="s">
        <v>74</v>
      </c>
      <c r="B44" s="232"/>
      <c r="C44" s="235"/>
      <c r="D44" s="25"/>
      <c r="E44" s="26"/>
      <c r="F44" s="25"/>
      <c r="G44" s="25"/>
      <c r="H44" s="58">
        <f>H45</f>
        <v>0</v>
      </c>
      <c r="I44" s="58">
        <f>I45</f>
        <v>0</v>
      </c>
      <c r="J44" s="58">
        <f>J45</f>
        <v>0</v>
      </c>
    </row>
    <row r="45" spans="1:10" ht="62.25" customHeight="1">
      <c r="A45" s="234"/>
      <c r="B45" s="233"/>
      <c r="C45" s="233"/>
      <c r="D45" s="25"/>
      <c r="E45" s="26"/>
      <c r="F45" s="25"/>
      <c r="G45" s="25"/>
      <c r="H45" s="59"/>
      <c r="I45" s="59"/>
      <c r="J45" s="59"/>
    </row>
    <row r="46" spans="1:10" ht="49.5" customHeight="1">
      <c r="A46" s="228" t="s">
        <v>75</v>
      </c>
      <c r="B46" s="232"/>
      <c r="C46" s="232"/>
      <c r="D46" s="25"/>
      <c r="E46" s="26"/>
      <c r="F46" s="25"/>
      <c r="G46" s="24"/>
      <c r="H46" s="58">
        <f>H47</f>
        <v>0</v>
      </c>
      <c r="I46" s="58">
        <f>I47</f>
        <v>0</v>
      </c>
      <c r="J46" s="58">
        <f>J47</f>
        <v>0</v>
      </c>
    </row>
    <row r="47" spans="1:10" ht="30" customHeight="1">
      <c r="A47" s="229"/>
      <c r="B47" s="233"/>
      <c r="C47" s="233"/>
      <c r="D47" s="25"/>
      <c r="E47" s="26"/>
      <c r="F47" s="25"/>
      <c r="G47" s="25"/>
      <c r="H47" s="29"/>
      <c r="I47" s="29"/>
      <c r="J47" s="29"/>
    </row>
    <row r="48" spans="1:10" ht="57" customHeight="1">
      <c r="A48" s="228" t="s">
        <v>76</v>
      </c>
      <c r="B48" s="232"/>
      <c r="C48" s="232"/>
      <c r="D48" s="25"/>
      <c r="E48" s="26"/>
      <c r="F48" s="25"/>
      <c r="G48" s="25"/>
      <c r="H48" s="58">
        <f>SUM(H49)</f>
        <v>0</v>
      </c>
      <c r="I48" s="58">
        <f>SUM(I49)</f>
        <v>0</v>
      </c>
      <c r="J48" s="58">
        <f>SUM(J49)</f>
        <v>0</v>
      </c>
    </row>
    <row r="49" spans="1:10" ht="40.5" customHeight="1">
      <c r="A49" s="229"/>
      <c r="B49" s="233"/>
      <c r="C49" s="233"/>
      <c r="D49" s="25"/>
      <c r="E49" s="26"/>
      <c r="F49" s="25"/>
      <c r="G49" s="25"/>
      <c r="H49" s="29"/>
      <c r="I49" s="29"/>
      <c r="J49" s="29"/>
    </row>
    <row r="50" spans="1:10" ht="64.5" customHeight="1">
      <c r="A50" s="228" t="s">
        <v>77</v>
      </c>
      <c r="B50" s="230"/>
      <c r="C50" s="231"/>
      <c r="D50" s="25"/>
      <c r="E50" s="26"/>
      <c r="F50" s="25"/>
      <c r="G50" s="25"/>
      <c r="H50" s="33">
        <f>H51</f>
        <v>0</v>
      </c>
      <c r="I50" s="33">
        <f>I51</f>
        <v>0</v>
      </c>
      <c r="J50" s="33">
        <f>J51</f>
        <v>0</v>
      </c>
    </row>
    <row r="51" spans="1:10" ht="38.25" customHeight="1">
      <c r="A51" s="229"/>
      <c r="B51" s="226"/>
      <c r="C51" s="227"/>
      <c r="D51" s="25"/>
      <c r="E51" s="26"/>
      <c r="F51" s="25"/>
      <c r="G51" s="25"/>
      <c r="H51" s="29"/>
      <c r="I51" s="29"/>
      <c r="J51" s="29"/>
    </row>
    <row r="52" spans="1:10" ht="69.75" customHeight="1">
      <c r="A52" s="234" t="s">
        <v>78</v>
      </c>
      <c r="B52" s="232"/>
      <c r="C52" s="235"/>
      <c r="D52" s="26"/>
      <c r="E52" s="26"/>
      <c r="F52" s="26"/>
      <c r="G52" s="26"/>
      <c r="H52" s="58">
        <f>SUM(H53:H54)</f>
        <v>0</v>
      </c>
      <c r="I52" s="58">
        <f>SUM(I53:I54)</f>
        <v>0</v>
      </c>
      <c r="J52" s="58">
        <f>SUM(J53:J54)</f>
        <v>0</v>
      </c>
    </row>
    <row r="53" spans="1:10" ht="27" customHeight="1">
      <c r="A53" s="234"/>
      <c r="B53" s="238"/>
      <c r="C53" s="239"/>
      <c r="D53" s="25"/>
      <c r="E53" s="26"/>
      <c r="F53" s="25"/>
      <c r="G53" s="25"/>
      <c r="H53" s="29"/>
      <c r="I53" s="29"/>
      <c r="J53" s="29"/>
    </row>
    <row r="54" spans="1:10" ht="20.25" customHeight="1">
      <c r="A54" s="234"/>
      <c r="B54" s="242"/>
      <c r="C54" s="243"/>
      <c r="D54" s="25"/>
      <c r="E54" s="26"/>
      <c r="F54" s="25"/>
      <c r="G54" s="25"/>
      <c r="H54" s="29"/>
      <c r="I54" s="29"/>
      <c r="J54" s="29"/>
    </row>
    <row r="55" spans="1:10" ht="96.75" customHeight="1">
      <c r="A55" s="234" t="s">
        <v>79</v>
      </c>
      <c r="B55" s="232"/>
      <c r="C55" s="235"/>
      <c r="D55" s="25"/>
      <c r="E55" s="26"/>
      <c r="F55" s="25"/>
      <c r="G55" s="25"/>
      <c r="H55" s="58">
        <f>SUM(H56)</f>
        <v>0</v>
      </c>
      <c r="I55" s="58">
        <f>SUM(I56)</f>
        <v>0</v>
      </c>
      <c r="J55" s="58">
        <f>SUM(J56)</f>
        <v>0</v>
      </c>
    </row>
    <row r="56" spans="1:10" ht="39" customHeight="1">
      <c r="A56" s="234"/>
      <c r="B56" s="233"/>
      <c r="C56" s="233"/>
      <c r="D56" s="25"/>
      <c r="E56" s="26"/>
      <c r="F56" s="25"/>
      <c r="G56" s="25"/>
      <c r="H56" s="29"/>
      <c r="I56" s="29"/>
      <c r="J56" s="29"/>
    </row>
    <row r="57" spans="1:10" ht="48" customHeight="1">
      <c r="A57" s="234" t="s">
        <v>80</v>
      </c>
      <c r="B57" s="232"/>
      <c r="C57" s="235"/>
      <c r="D57" s="25"/>
      <c r="E57" s="26"/>
      <c r="F57" s="25"/>
      <c r="G57" s="25"/>
      <c r="H57" s="58">
        <f>SUM(H58)</f>
        <v>0</v>
      </c>
      <c r="I57" s="58">
        <f>SUM(I58)</f>
        <v>0</v>
      </c>
      <c r="J57" s="58">
        <f>SUM(J58)</f>
        <v>0</v>
      </c>
    </row>
    <row r="58" spans="1:10" ht="43.5" customHeight="1">
      <c r="A58" s="234"/>
      <c r="B58" s="233"/>
      <c r="C58" s="233"/>
      <c r="D58" s="25"/>
      <c r="E58" s="26"/>
      <c r="F58" s="25"/>
      <c r="G58" s="25"/>
      <c r="H58" s="29"/>
      <c r="I58" s="29"/>
      <c r="J58" s="29"/>
    </row>
    <row r="59" spans="1:10" ht="29.25" customHeight="1">
      <c r="A59" s="234" t="s">
        <v>82</v>
      </c>
      <c r="B59" s="232"/>
      <c r="C59" s="235"/>
      <c r="D59" s="25"/>
      <c r="E59" s="26"/>
      <c r="F59" s="25"/>
      <c r="G59" s="25"/>
      <c r="H59" s="58">
        <f>SUM(H60)</f>
        <v>0</v>
      </c>
      <c r="I59" s="58">
        <f>SUM(I60)</f>
        <v>0</v>
      </c>
      <c r="J59" s="58">
        <f>SUM(J60)</f>
        <v>0</v>
      </c>
    </row>
    <row r="60" spans="1:10" ht="34.5" customHeight="1">
      <c r="A60" s="234"/>
      <c r="B60" s="233"/>
      <c r="C60" s="233"/>
      <c r="D60" s="25"/>
      <c r="E60" s="26"/>
      <c r="F60" s="25"/>
      <c r="G60" s="25"/>
      <c r="H60" s="29"/>
      <c r="I60" s="29"/>
      <c r="J60" s="29"/>
    </row>
    <row r="61" spans="1:10" ht="111.75" customHeight="1">
      <c r="A61" s="234" t="s">
        <v>83</v>
      </c>
      <c r="B61" s="232"/>
      <c r="C61" s="235"/>
      <c r="D61" s="25"/>
      <c r="E61" s="26"/>
      <c r="F61" s="25"/>
      <c r="G61" s="25"/>
      <c r="H61" s="58">
        <f>H62</f>
        <v>0</v>
      </c>
      <c r="I61" s="58">
        <f>I62</f>
        <v>0</v>
      </c>
      <c r="J61" s="58">
        <f>J62</f>
        <v>0</v>
      </c>
    </row>
    <row r="62" spans="1:10" ht="30.75" customHeight="1">
      <c r="A62" s="234"/>
      <c r="B62" s="233"/>
      <c r="C62" s="247"/>
      <c r="D62" s="25"/>
      <c r="E62" s="26"/>
      <c r="F62" s="25"/>
      <c r="G62" s="25"/>
      <c r="H62" s="29"/>
      <c r="I62" s="29"/>
      <c r="J62" s="29"/>
    </row>
    <row r="63" spans="1:10" ht="105" customHeight="1">
      <c r="A63" s="234" t="s">
        <v>84</v>
      </c>
      <c r="B63" s="232"/>
      <c r="C63" s="235"/>
      <c r="D63" s="25"/>
      <c r="E63" s="26"/>
      <c r="F63" s="25"/>
      <c r="G63" s="25"/>
      <c r="H63" s="58">
        <f>H64</f>
        <v>0</v>
      </c>
      <c r="I63" s="58">
        <f>I64</f>
        <v>0</v>
      </c>
      <c r="J63" s="58">
        <f>J64</f>
        <v>0</v>
      </c>
    </row>
    <row r="64" spans="1:10" ht="39.75" customHeight="1">
      <c r="A64" s="234"/>
      <c r="B64" s="233"/>
      <c r="C64" s="233"/>
      <c r="D64" s="25"/>
      <c r="E64" s="26"/>
      <c r="F64" s="25"/>
      <c r="G64" s="25"/>
      <c r="H64" s="29"/>
      <c r="I64" s="29"/>
      <c r="J64" s="29"/>
    </row>
    <row r="65" spans="1:11" ht="76.5" customHeight="1">
      <c r="A65" s="234" t="s">
        <v>85</v>
      </c>
      <c r="B65" s="232"/>
      <c r="C65" s="232"/>
      <c r="D65" s="25"/>
      <c r="E65" s="26"/>
      <c r="F65" s="25"/>
      <c r="G65" s="25"/>
      <c r="H65" s="58">
        <f>SUM(H66:H67)</f>
        <v>0</v>
      </c>
      <c r="I65" s="58">
        <f>SUM(I66:I67)</f>
        <v>0</v>
      </c>
      <c r="J65" s="58">
        <f>SUM(J66:J67)</f>
        <v>0</v>
      </c>
    </row>
    <row r="66" spans="1:11" ht="29.25" customHeight="1">
      <c r="A66" s="234"/>
      <c r="B66" s="238"/>
      <c r="C66" s="239"/>
      <c r="D66" s="25"/>
      <c r="E66" s="26"/>
      <c r="F66" s="25"/>
      <c r="G66" s="25"/>
      <c r="H66" s="59"/>
      <c r="I66" s="59"/>
      <c r="J66" s="59"/>
    </row>
    <row r="67" spans="1:11" ht="23.25" customHeight="1">
      <c r="A67" s="234"/>
      <c r="B67" s="242"/>
      <c r="C67" s="243"/>
      <c r="D67" s="25"/>
      <c r="E67" s="26"/>
      <c r="F67" s="25"/>
      <c r="G67" s="25"/>
      <c r="H67" s="29"/>
      <c r="I67" s="29"/>
      <c r="J67" s="29"/>
    </row>
    <row r="68" spans="1:11" ht="76.5" customHeight="1">
      <c r="A68" s="228" t="s">
        <v>86</v>
      </c>
      <c r="B68" s="230"/>
      <c r="C68" s="231"/>
      <c r="D68" s="25"/>
      <c r="E68" s="26"/>
      <c r="F68" s="25"/>
      <c r="G68" s="25"/>
      <c r="H68" s="58">
        <f>H69</f>
        <v>0</v>
      </c>
      <c r="I68" s="58">
        <f>I69</f>
        <v>0</v>
      </c>
      <c r="J68" s="58">
        <f>J69</f>
        <v>0</v>
      </c>
    </row>
    <row r="69" spans="1:11" ht="39" customHeight="1">
      <c r="A69" s="229"/>
      <c r="B69" s="226"/>
      <c r="C69" s="227"/>
      <c r="D69" s="25"/>
      <c r="E69" s="26"/>
      <c r="F69" s="25"/>
      <c r="G69" s="25"/>
      <c r="H69" s="29"/>
      <c r="I69" s="29"/>
      <c r="J69" s="29"/>
    </row>
    <row r="70" spans="1:11" ht="243" customHeight="1">
      <c r="A70" s="228" t="s">
        <v>207</v>
      </c>
      <c r="B70" s="230"/>
      <c r="C70" s="231"/>
      <c r="D70" s="25"/>
      <c r="E70" s="26"/>
      <c r="F70" s="25"/>
      <c r="G70" s="25"/>
      <c r="H70" s="58">
        <f>H71</f>
        <v>0</v>
      </c>
      <c r="I70" s="58">
        <f>I71</f>
        <v>0</v>
      </c>
      <c r="J70" s="58">
        <f>J71</f>
        <v>0</v>
      </c>
      <c r="K70" s="39" t="s">
        <v>236</v>
      </c>
    </row>
    <row r="71" spans="1:11" ht="33.75" customHeight="1">
      <c r="A71" s="229"/>
      <c r="B71" s="226"/>
      <c r="C71" s="227"/>
      <c r="D71" s="25"/>
      <c r="E71" s="26"/>
      <c r="F71" s="25"/>
      <c r="G71" s="25"/>
      <c r="H71" s="29"/>
      <c r="I71" s="29"/>
      <c r="J71" s="29"/>
    </row>
    <row r="72" spans="1:11" ht="30" customHeight="1">
      <c r="A72" s="234" t="s">
        <v>208</v>
      </c>
      <c r="B72" s="232"/>
      <c r="C72" s="232"/>
      <c r="D72" s="25"/>
      <c r="E72" s="26"/>
      <c r="F72" s="25"/>
      <c r="G72" s="25"/>
      <c r="H72" s="58">
        <f>SUM(H73)</f>
        <v>0</v>
      </c>
      <c r="I72" s="58">
        <f>SUM(I73)</f>
        <v>0</v>
      </c>
      <c r="J72" s="58">
        <f>SUM(J73)</f>
        <v>0</v>
      </c>
    </row>
    <row r="73" spans="1:11" ht="34.5" customHeight="1">
      <c r="A73" s="234"/>
      <c r="B73" s="233"/>
      <c r="C73" s="233"/>
      <c r="D73" s="25"/>
      <c r="E73" s="26"/>
      <c r="F73" s="25"/>
      <c r="G73" s="25"/>
      <c r="H73" s="29"/>
      <c r="I73" s="29"/>
      <c r="J73" s="29"/>
    </row>
    <row r="74" spans="1:11" ht="41.25" hidden="1" customHeight="1">
      <c r="A74" s="234" t="s">
        <v>78</v>
      </c>
      <c r="B74" s="241" t="s">
        <v>81</v>
      </c>
      <c r="C74" s="241"/>
      <c r="D74" s="27"/>
      <c r="E74" s="28"/>
      <c r="F74" s="27"/>
      <c r="G74" s="27"/>
      <c r="H74" s="34">
        <f>SUM(H75:H76)</f>
        <v>0</v>
      </c>
      <c r="I74" s="34">
        <f>SUM(I75:I76)</f>
        <v>0</v>
      </c>
      <c r="J74" s="34">
        <f>SUM(J75:J76)</f>
        <v>0</v>
      </c>
    </row>
    <row r="75" spans="1:11" ht="30" hidden="1" customHeight="1">
      <c r="A75" s="234"/>
      <c r="B75" s="244" t="s">
        <v>39</v>
      </c>
      <c r="C75" s="244"/>
      <c r="D75" s="27" t="s">
        <v>36</v>
      </c>
      <c r="E75" s="28">
        <v>4329932</v>
      </c>
      <c r="F75" s="27"/>
      <c r="G75" s="27" t="s">
        <v>57</v>
      </c>
      <c r="H75" s="35"/>
      <c r="I75" s="35"/>
      <c r="J75" s="35"/>
    </row>
    <row r="76" spans="1:11" ht="36" hidden="1" customHeight="1">
      <c r="A76" s="234"/>
      <c r="B76" s="233" t="s">
        <v>87</v>
      </c>
      <c r="C76" s="233"/>
      <c r="D76" s="25" t="s">
        <v>36</v>
      </c>
      <c r="E76" s="26">
        <v>4329932</v>
      </c>
      <c r="F76" s="25"/>
      <c r="G76" s="25" t="s">
        <v>58</v>
      </c>
      <c r="H76" s="29">
        <v>0</v>
      </c>
      <c r="I76" s="29">
        <v>0</v>
      </c>
      <c r="J76" s="29">
        <v>0</v>
      </c>
    </row>
    <row r="77" spans="1:11" ht="55.5" customHeight="1">
      <c r="A77" s="234" t="s">
        <v>209</v>
      </c>
      <c r="B77" s="232"/>
      <c r="C77" s="232"/>
      <c r="D77" s="25"/>
      <c r="E77" s="26"/>
      <c r="F77" s="25"/>
      <c r="G77" s="25"/>
      <c r="H77" s="33">
        <f>SUM(H78)</f>
        <v>0</v>
      </c>
      <c r="I77" s="33">
        <f>SUM(I78)</f>
        <v>0</v>
      </c>
      <c r="J77" s="33">
        <f>SUM(J78)</f>
        <v>0</v>
      </c>
    </row>
    <row r="78" spans="1:11" ht="47.25" customHeight="1">
      <c r="A78" s="234"/>
      <c r="B78" s="233"/>
      <c r="C78" s="233"/>
      <c r="D78" s="25"/>
      <c r="E78" s="26"/>
      <c r="F78" s="25"/>
      <c r="G78" s="25"/>
      <c r="H78" s="29"/>
      <c r="I78" s="29"/>
      <c r="J78" s="29"/>
    </row>
    <row r="79" spans="1:11" ht="78" customHeight="1">
      <c r="A79" s="234" t="s">
        <v>210</v>
      </c>
      <c r="B79" s="232"/>
      <c r="C79" s="232"/>
      <c r="D79" s="25"/>
      <c r="E79" s="26"/>
      <c r="F79" s="25"/>
      <c r="G79" s="25"/>
      <c r="H79" s="33">
        <f>SUM(H80)</f>
        <v>0</v>
      </c>
      <c r="I79" s="33">
        <f>SUM(I80)</f>
        <v>0</v>
      </c>
      <c r="J79" s="33">
        <f>SUM(J80)</f>
        <v>0</v>
      </c>
    </row>
    <row r="80" spans="1:11" ht="53.25" customHeight="1">
      <c r="A80" s="234"/>
      <c r="B80" s="233"/>
      <c r="C80" s="233"/>
      <c r="D80" s="25"/>
      <c r="E80" s="26"/>
      <c r="F80" s="25"/>
      <c r="G80" s="25"/>
      <c r="H80" s="29"/>
      <c r="I80" s="29"/>
      <c r="J80" s="29"/>
    </row>
    <row r="81" spans="1:11" ht="53.25" customHeight="1">
      <c r="A81" s="234" t="s">
        <v>211</v>
      </c>
      <c r="B81" s="232"/>
      <c r="C81" s="232"/>
      <c r="D81" s="25"/>
      <c r="E81" s="26"/>
      <c r="F81" s="25"/>
      <c r="G81" s="25"/>
      <c r="H81" s="33">
        <f>SUM(H82)</f>
        <v>0</v>
      </c>
      <c r="I81" s="33">
        <f>SUM(I82)</f>
        <v>0</v>
      </c>
      <c r="J81" s="33">
        <f>SUM(J82)</f>
        <v>0</v>
      </c>
    </row>
    <row r="82" spans="1:11" ht="60" customHeight="1">
      <c r="A82" s="234"/>
      <c r="B82" s="233"/>
      <c r="C82" s="233"/>
      <c r="D82" s="25"/>
      <c r="E82" s="26"/>
      <c r="F82" s="25"/>
      <c r="G82" s="25"/>
      <c r="H82" s="29"/>
      <c r="I82" s="29"/>
      <c r="J82" s="29"/>
    </row>
    <row r="83" spans="1:11" ht="64.5" customHeight="1">
      <c r="A83" s="234" t="s">
        <v>212</v>
      </c>
      <c r="B83" s="232"/>
      <c r="C83" s="232"/>
      <c r="D83" s="25"/>
      <c r="E83" s="26"/>
      <c r="F83" s="25"/>
      <c r="G83" s="25"/>
      <c r="H83" s="33">
        <f>SUM(H84)</f>
        <v>0</v>
      </c>
      <c r="I83" s="33">
        <f>SUM(I84)</f>
        <v>0</v>
      </c>
      <c r="J83" s="33">
        <f>SUM(J84)</f>
        <v>0</v>
      </c>
    </row>
    <row r="84" spans="1:11" ht="57" customHeight="1">
      <c r="A84" s="234"/>
      <c r="B84" s="233"/>
      <c r="C84" s="233"/>
      <c r="D84" s="25"/>
      <c r="E84" s="26"/>
      <c r="F84" s="25"/>
      <c r="G84" s="25"/>
      <c r="H84" s="29"/>
      <c r="I84" s="29"/>
      <c r="J84" s="29"/>
    </row>
    <row r="85" spans="1:11" ht="57" customHeight="1">
      <c r="A85" s="234" t="s">
        <v>213</v>
      </c>
      <c r="B85" s="232"/>
      <c r="C85" s="232"/>
      <c r="D85" s="25"/>
      <c r="E85" s="26"/>
      <c r="F85" s="25"/>
      <c r="G85" s="25"/>
      <c r="H85" s="33">
        <f>SUM(H86)</f>
        <v>0</v>
      </c>
      <c r="I85" s="33">
        <f>SUM(I86)</f>
        <v>0</v>
      </c>
      <c r="J85" s="33">
        <f>SUM(J86)</f>
        <v>0</v>
      </c>
    </row>
    <row r="86" spans="1:11" ht="58.5" customHeight="1">
      <c r="A86" s="234"/>
      <c r="B86" s="233"/>
      <c r="C86" s="233"/>
      <c r="D86" s="25"/>
      <c r="E86" s="26"/>
      <c r="F86" s="25"/>
      <c r="G86" s="25"/>
      <c r="H86" s="29"/>
      <c r="I86" s="29"/>
      <c r="J86" s="29"/>
    </row>
    <row r="87" spans="1:11" ht="74.25" customHeight="1">
      <c r="A87" s="234" t="s">
        <v>214</v>
      </c>
      <c r="B87" s="232"/>
      <c r="C87" s="232"/>
      <c r="D87" s="25"/>
      <c r="E87" s="26"/>
      <c r="F87" s="25"/>
      <c r="G87" s="25"/>
      <c r="H87" s="33">
        <f>SUM(H88)</f>
        <v>0</v>
      </c>
      <c r="I87" s="33">
        <f>SUM(I88)</f>
        <v>0</v>
      </c>
      <c r="J87" s="33">
        <f>SUM(J88)</f>
        <v>0</v>
      </c>
      <c r="K87" s="39" t="s">
        <v>206</v>
      </c>
    </row>
    <row r="88" spans="1:11" ht="58.5" customHeight="1">
      <c r="A88" s="234"/>
      <c r="B88" s="233"/>
      <c r="C88" s="233"/>
      <c r="D88" s="25"/>
      <c r="E88" s="25"/>
      <c r="F88" s="25"/>
      <c r="G88" s="25"/>
      <c r="H88" s="29"/>
      <c r="I88" s="29"/>
      <c r="J88" s="29"/>
    </row>
    <row r="89" spans="1:11" ht="67.5" customHeight="1">
      <c r="A89" s="234" t="s">
        <v>215</v>
      </c>
      <c r="B89" s="232"/>
      <c r="C89" s="232"/>
      <c r="D89" s="25"/>
      <c r="E89" s="26"/>
      <c r="F89" s="25"/>
      <c r="G89" s="25"/>
      <c r="H89" s="58">
        <f>SUM(H90:H90)</f>
        <v>0</v>
      </c>
      <c r="I89" s="58">
        <f>SUM(I90:I90)</f>
        <v>0</v>
      </c>
      <c r="J89" s="58">
        <f>SUM(J90:J90)</f>
        <v>0</v>
      </c>
    </row>
    <row r="90" spans="1:11" ht="32.25" customHeight="1">
      <c r="A90" s="234"/>
      <c r="B90" s="233"/>
      <c r="C90" s="233"/>
      <c r="D90" s="25"/>
      <c r="E90" s="26"/>
      <c r="F90" s="25"/>
      <c r="G90" s="25"/>
      <c r="H90" s="29"/>
      <c r="I90" s="29"/>
      <c r="J90" s="29"/>
    </row>
    <row r="91" spans="1:11" ht="78.75" customHeight="1">
      <c r="A91" s="234" t="s">
        <v>216</v>
      </c>
      <c r="B91" s="232"/>
      <c r="C91" s="235"/>
      <c r="D91" s="25"/>
      <c r="E91" s="26"/>
      <c r="F91" s="25"/>
      <c r="G91" s="25"/>
      <c r="H91" s="58">
        <f>SUM(H92)</f>
        <v>0</v>
      </c>
      <c r="I91" s="58">
        <f>SUM(I92)</f>
        <v>0</v>
      </c>
      <c r="J91" s="58">
        <f>SUM(J92)</f>
        <v>0</v>
      </c>
    </row>
    <row r="92" spans="1:11" ht="33.75" customHeight="1">
      <c r="A92" s="234"/>
      <c r="B92" s="233"/>
      <c r="C92" s="233"/>
      <c r="D92" s="25"/>
      <c r="E92" s="26"/>
      <c r="F92" s="25"/>
      <c r="G92" s="25"/>
      <c r="H92" s="29"/>
      <c r="I92" s="29"/>
      <c r="J92" s="29"/>
    </row>
    <row r="93" spans="1:11" ht="63" customHeight="1">
      <c r="A93" s="228" t="s">
        <v>233</v>
      </c>
      <c r="B93" s="232"/>
      <c r="C93" s="232"/>
      <c r="D93" s="25"/>
      <c r="E93" s="26"/>
      <c r="F93" s="25"/>
      <c r="G93" s="25"/>
      <c r="H93" s="33">
        <f>H94</f>
        <v>0</v>
      </c>
      <c r="I93" s="33">
        <f>I94</f>
        <v>0</v>
      </c>
      <c r="J93" s="33">
        <f>J94</f>
        <v>0</v>
      </c>
    </row>
    <row r="94" spans="1:11" ht="39.75" customHeight="1">
      <c r="A94" s="229"/>
      <c r="B94" s="233"/>
      <c r="C94" s="233"/>
      <c r="D94" s="25"/>
      <c r="E94" s="26"/>
      <c r="F94" s="25"/>
      <c r="G94" s="25"/>
      <c r="H94" s="29"/>
      <c r="I94" s="29"/>
      <c r="J94" s="29"/>
    </row>
    <row r="95" spans="1:11" ht="58.5" customHeight="1">
      <c r="A95" s="228" t="s">
        <v>234</v>
      </c>
      <c r="B95" s="230"/>
      <c r="C95" s="231"/>
      <c r="D95" s="25"/>
      <c r="E95" s="26"/>
      <c r="F95" s="25"/>
      <c r="G95" s="25"/>
      <c r="H95" s="33">
        <f>H96</f>
        <v>0</v>
      </c>
      <c r="I95" s="33">
        <f>I96</f>
        <v>0</v>
      </c>
      <c r="J95" s="33">
        <f>J96</f>
        <v>0</v>
      </c>
    </row>
    <row r="96" spans="1:11" ht="42" customHeight="1">
      <c r="A96" s="229"/>
      <c r="B96" s="226"/>
      <c r="C96" s="227"/>
      <c r="D96" s="25"/>
      <c r="E96" s="26"/>
      <c r="F96" s="25"/>
      <c r="G96" s="25"/>
      <c r="H96" s="29"/>
      <c r="I96" s="29"/>
      <c r="J96" s="29"/>
    </row>
    <row r="97" spans="1:10" ht="52.5" customHeight="1">
      <c r="A97" s="228" t="s">
        <v>235</v>
      </c>
      <c r="B97" s="230"/>
      <c r="C97" s="231"/>
      <c r="D97" s="25"/>
      <c r="E97" s="26"/>
      <c r="F97" s="25"/>
      <c r="G97" s="25"/>
      <c r="H97" s="33">
        <f>H98</f>
        <v>0</v>
      </c>
      <c r="I97" s="33">
        <f>I98</f>
        <v>0</v>
      </c>
      <c r="J97" s="33">
        <f>J98</f>
        <v>0</v>
      </c>
    </row>
    <row r="98" spans="1:10" ht="39" customHeight="1">
      <c r="A98" s="229"/>
      <c r="B98" s="226"/>
      <c r="C98" s="227"/>
      <c r="D98" s="25"/>
      <c r="E98" s="25"/>
      <c r="F98" s="25"/>
      <c r="G98" s="25"/>
      <c r="H98" s="29"/>
      <c r="I98" s="29"/>
      <c r="J98" s="29"/>
    </row>
    <row r="99" spans="1:10" ht="21.75" customHeight="1">
      <c r="A99" s="36"/>
      <c r="B99" s="240" t="s">
        <v>37</v>
      </c>
      <c r="C99" s="240"/>
      <c r="D99" s="37"/>
      <c r="E99" s="37"/>
      <c r="F99" s="37"/>
      <c r="G99" s="37"/>
      <c r="H99" s="34">
        <f>SUM(H8+H11+H17+H23+H25+H27+H29+H31+H35+H37+H41+H44+H46+H48+H50+H52+H55+H57+H59+H61+H63+H65+H68+H70+H72+H77+H79+H81+H83+H85+H87+H89+H91+H93+H95+H97)</f>
        <v>0</v>
      </c>
      <c r="I99" s="34">
        <f>SUM(I8+I11+I17+I23+I25+I27+I29+I31+I35+I37+I41+I44+I46+I48+I50+I52+I55+I57+I59+I61+I63+I65+I68+I70+I72+I77+I79+I81+I83+I85+I87+I89+I91+I93+I95+I97)</f>
        <v>0</v>
      </c>
      <c r="J99" s="34">
        <f>SUM(J8+J11+J17+J23+J25+J27+J29+J31+J35+J37+J41+J44+J46+J48+J50+J52+J55+J57+J59+J61+J63+J65+J68+J70+J72+J77+J79+J81+J83+J85+J87+J89+J91+J93+J95+J97)</f>
        <v>0</v>
      </c>
    </row>
    <row r="100" spans="1:10">
      <c r="I100" s="42"/>
      <c r="J100" s="42"/>
    </row>
  </sheetData>
  <mergeCells count="131">
    <mergeCell ref="B16:C16"/>
    <mergeCell ref="B42:C42"/>
    <mergeCell ref="B40:C40"/>
    <mergeCell ref="B34:C34"/>
    <mergeCell ref="B26:C26"/>
    <mergeCell ref="B18:C18"/>
    <mergeCell ref="B25:C25"/>
    <mergeCell ref="A2:J2"/>
    <mergeCell ref="B15:C15"/>
    <mergeCell ref="B8:C8"/>
    <mergeCell ref="A35:A36"/>
    <mergeCell ref="A27:A28"/>
    <mergeCell ref="B17:C17"/>
    <mergeCell ref="A8:A10"/>
    <mergeCell ref="B30:C30"/>
    <mergeCell ref="A3:J3"/>
    <mergeCell ref="A23:A24"/>
    <mergeCell ref="B23:C23"/>
    <mergeCell ref="B12:C12"/>
    <mergeCell ref="B9:C10"/>
    <mergeCell ref="B20:C21"/>
    <mergeCell ref="B13:C13"/>
    <mergeCell ref="B7:C7"/>
    <mergeCell ref="B29:C29"/>
    <mergeCell ref="A4:J4"/>
    <mergeCell ref="B11:C11"/>
    <mergeCell ref="A11:A16"/>
    <mergeCell ref="A17:A22"/>
    <mergeCell ref="B14:C14"/>
    <mergeCell ref="B35:C35"/>
    <mergeCell ref="A29:A30"/>
    <mergeCell ref="B63:C63"/>
    <mergeCell ref="B58:C58"/>
    <mergeCell ref="B45:C45"/>
    <mergeCell ref="B53:C53"/>
    <mergeCell ref="B47:C47"/>
    <mergeCell ref="B46:C46"/>
    <mergeCell ref="B19:C19"/>
    <mergeCell ref="B22:C22"/>
    <mergeCell ref="B31:C31"/>
    <mergeCell ref="B27:C27"/>
    <mergeCell ref="B28:C28"/>
    <mergeCell ref="B37:C37"/>
    <mergeCell ref="B38:C39"/>
    <mergeCell ref="A57:A58"/>
    <mergeCell ref="B61:C61"/>
    <mergeCell ref="B62:C62"/>
    <mergeCell ref="B36:C36"/>
    <mergeCell ref="A61:A62"/>
    <mergeCell ref="A46:A47"/>
    <mergeCell ref="A48:A49"/>
    <mergeCell ref="B33:C33"/>
    <mergeCell ref="B32:C32"/>
    <mergeCell ref="B49:C49"/>
    <mergeCell ref="B56:C56"/>
    <mergeCell ref="B41:C41"/>
    <mergeCell ref="B54:C54"/>
    <mergeCell ref="B55:C55"/>
    <mergeCell ref="B52:C52"/>
    <mergeCell ref="B72:C72"/>
    <mergeCell ref="B75:C75"/>
    <mergeCell ref="A83:A84"/>
    <mergeCell ref="A85:A86"/>
    <mergeCell ref="A87:A88"/>
    <mergeCell ref="A25:A26"/>
    <mergeCell ref="A52:A54"/>
    <mergeCell ref="A41:A43"/>
    <mergeCell ref="A59:A60"/>
    <mergeCell ref="A44:A45"/>
    <mergeCell ref="A55:A56"/>
    <mergeCell ref="A70:A71"/>
    <mergeCell ref="A74:A76"/>
    <mergeCell ref="A72:A73"/>
    <mergeCell ref="A79:A80"/>
    <mergeCell ref="A77:A78"/>
    <mergeCell ref="A63:A64"/>
    <mergeCell ref="A31:A34"/>
    <mergeCell ref="A68:A69"/>
    <mergeCell ref="A65:A67"/>
    <mergeCell ref="A81:A82"/>
    <mergeCell ref="A37:A40"/>
    <mergeCell ref="B65:C65"/>
    <mergeCell ref="B64:C64"/>
    <mergeCell ref="B66:C66"/>
    <mergeCell ref="B59:C59"/>
    <mergeCell ref="B99:C99"/>
    <mergeCell ref="B77:C77"/>
    <mergeCell ref="B76:C76"/>
    <mergeCell ref="B83:C83"/>
    <mergeCell ref="B84:C84"/>
    <mergeCell ref="B78:C78"/>
    <mergeCell ref="B89:C89"/>
    <mergeCell ref="B93:C93"/>
    <mergeCell ref="B81:C81"/>
    <mergeCell ref="B96:C96"/>
    <mergeCell ref="B91:C91"/>
    <mergeCell ref="B90:C90"/>
    <mergeCell ref="B80:C80"/>
    <mergeCell ref="B73:C73"/>
    <mergeCell ref="B82:C82"/>
    <mergeCell ref="B79:C79"/>
    <mergeCell ref="B74:C74"/>
    <mergeCell ref="B71:C71"/>
    <mergeCell ref="B68:C68"/>
    <mergeCell ref="B69:C69"/>
    <mergeCell ref="B70:C70"/>
    <mergeCell ref="B67:C67"/>
    <mergeCell ref="C1:J1"/>
    <mergeCell ref="B98:C98"/>
    <mergeCell ref="A97:A98"/>
    <mergeCell ref="B50:C50"/>
    <mergeCell ref="B51:C51"/>
    <mergeCell ref="A50:A51"/>
    <mergeCell ref="B95:C95"/>
    <mergeCell ref="B97:C97"/>
    <mergeCell ref="A93:A94"/>
    <mergeCell ref="A95:A96"/>
    <mergeCell ref="B87:C87"/>
    <mergeCell ref="B85:C85"/>
    <mergeCell ref="B86:C86"/>
    <mergeCell ref="A91:A92"/>
    <mergeCell ref="A89:A90"/>
    <mergeCell ref="B88:C88"/>
    <mergeCell ref="B94:C94"/>
    <mergeCell ref="B92:C92"/>
    <mergeCell ref="B48:C48"/>
    <mergeCell ref="B60:C60"/>
    <mergeCell ref="B44:C44"/>
    <mergeCell ref="B57:C57"/>
    <mergeCell ref="B24:C24"/>
    <mergeCell ref="B43:C43"/>
  </mergeCells>
  <phoneticPr fontId="7" type="noConversion"/>
  <printOptions horizontalCentered="1"/>
  <pageMargins left="1.1811023622047245" right="0.39370078740157483" top="0.78740157480314965" bottom="0.78740157480314965" header="0.11811023622047245" footer="0.11811023622047245"/>
  <pageSetup paperSize="9" scale="95" fitToHeight="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 enableFormatConditionsCalculation="0">
    <tabColor indexed="32"/>
  </sheetPr>
  <dimension ref="A1:J19"/>
  <sheetViews>
    <sheetView view="pageBreakPreview" topLeftCell="A7" zoomScaleNormal="100" workbookViewId="0">
      <selection activeCell="M17" sqref="M17"/>
    </sheetView>
  </sheetViews>
  <sheetFormatPr defaultRowHeight="15"/>
  <cols>
    <col min="1" max="1" width="5.44140625" style="4" customWidth="1"/>
    <col min="2" max="2" width="8.88671875" style="4"/>
    <col min="3" max="3" width="6.44140625" style="4" customWidth="1"/>
    <col min="4" max="4" width="10.77734375" style="4" customWidth="1"/>
    <col min="5" max="5" width="8.77734375" style="4" customWidth="1"/>
    <col min="6" max="6" width="8.5546875" style="4" customWidth="1"/>
    <col min="7" max="7" width="8.88671875" style="4"/>
    <col min="8" max="8" width="12" style="4" customWidth="1"/>
    <col min="9" max="9" width="11.21875" style="4" customWidth="1"/>
    <col min="10" max="10" width="12.109375" style="4" customWidth="1"/>
  </cols>
  <sheetData>
    <row r="1" spans="1:10" ht="19.5" customHeight="1">
      <c r="A1" s="6"/>
      <c r="B1" s="6"/>
      <c r="C1" s="6"/>
      <c r="D1" s="6"/>
      <c r="E1" s="6"/>
      <c r="F1" s="6"/>
      <c r="G1" s="6"/>
      <c r="H1" s="279" t="s">
        <v>45</v>
      </c>
      <c r="I1" s="279"/>
      <c r="J1" s="279"/>
    </row>
    <row r="2" spans="1:10" ht="34.5" customHeight="1">
      <c r="A2" s="6"/>
      <c r="B2" s="6"/>
      <c r="C2" s="6"/>
      <c r="D2" s="6"/>
      <c r="E2" s="6"/>
      <c r="F2" s="6"/>
      <c r="G2" s="286" t="s">
        <v>103</v>
      </c>
      <c r="H2" s="287"/>
      <c r="I2" s="287"/>
      <c r="J2" s="287"/>
    </row>
    <row r="3" spans="1:10" ht="19.5" customHeight="1">
      <c r="A3" s="6"/>
      <c r="B3" s="6"/>
      <c r="C3" s="6"/>
      <c r="D3" s="6"/>
      <c r="E3" s="6"/>
      <c r="F3" s="6"/>
      <c r="G3" s="279" t="s">
        <v>67</v>
      </c>
      <c r="H3" s="279"/>
      <c r="I3" s="279"/>
      <c r="J3" s="279"/>
    </row>
    <row r="4" spans="1:10" ht="19.5" customHeight="1">
      <c r="A4" s="6"/>
      <c r="B4" s="6"/>
      <c r="C4" s="6"/>
      <c r="D4" s="6"/>
      <c r="E4" s="6"/>
      <c r="F4" s="6"/>
      <c r="G4" s="279" t="s">
        <v>105</v>
      </c>
      <c r="H4" s="279"/>
      <c r="I4" s="279"/>
      <c r="J4" s="279"/>
    </row>
    <row r="5" spans="1:10">
      <c r="A5" s="6"/>
      <c r="B5" s="6"/>
      <c r="C5" s="6"/>
      <c r="D5" s="6"/>
      <c r="E5" s="6"/>
      <c r="F5" s="6"/>
      <c r="G5" s="279" t="s">
        <v>64</v>
      </c>
      <c r="H5" s="279"/>
      <c r="I5" s="279" t="s">
        <v>102</v>
      </c>
      <c r="J5" s="279"/>
    </row>
    <row r="6" spans="1:10" hidden="1">
      <c r="A6" s="6"/>
      <c r="B6" s="6"/>
      <c r="C6" s="6"/>
      <c r="D6" s="6"/>
      <c r="E6" s="6"/>
      <c r="F6" s="6"/>
      <c r="G6" s="6"/>
      <c r="H6" s="6"/>
      <c r="I6" s="7"/>
      <c r="J6" s="8"/>
    </row>
    <row r="7" spans="1:10" ht="59.25" customHeight="1">
      <c r="A7" s="288" t="s">
        <v>104</v>
      </c>
      <c r="B7" s="289"/>
      <c r="C7" s="289"/>
      <c r="D7" s="289"/>
      <c r="E7" s="289"/>
      <c r="F7" s="289"/>
      <c r="G7" s="289"/>
      <c r="H7" s="289"/>
      <c r="I7" s="289"/>
      <c r="J7" s="289"/>
    </row>
    <row r="8" spans="1:10">
      <c r="A8" s="6"/>
      <c r="B8" s="6"/>
      <c r="C8" s="6"/>
      <c r="D8" s="6"/>
      <c r="E8" s="6"/>
      <c r="F8" s="6"/>
      <c r="G8" s="6"/>
      <c r="H8" s="6"/>
      <c r="I8" s="6"/>
      <c r="J8" s="6"/>
    </row>
    <row r="9" spans="1:10" ht="30.75" customHeight="1">
      <c r="A9" s="9" t="s">
        <v>51</v>
      </c>
      <c r="B9" s="282" t="s">
        <v>107</v>
      </c>
      <c r="C9" s="283"/>
      <c r="D9" s="283"/>
      <c r="E9" s="283"/>
      <c r="F9" s="283"/>
      <c r="G9" s="283"/>
      <c r="H9" s="283"/>
      <c r="I9" s="283"/>
      <c r="J9" s="283"/>
    </row>
    <row r="10" spans="1:10" ht="30.75" customHeight="1">
      <c r="A10" s="267" t="s">
        <v>63</v>
      </c>
      <c r="B10" s="269" t="s">
        <v>46</v>
      </c>
      <c r="C10" s="269"/>
      <c r="D10" s="269" t="s">
        <v>47</v>
      </c>
      <c r="E10" s="266" t="s">
        <v>99</v>
      </c>
      <c r="F10" s="266"/>
      <c r="G10" s="266"/>
      <c r="H10" s="266"/>
      <c r="I10" s="284" t="s">
        <v>48</v>
      </c>
      <c r="J10" s="284" t="s">
        <v>49</v>
      </c>
    </row>
    <row r="11" spans="1:10" ht="69" customHeight="1" thickBot="1">
      <c r="A11" s="268"/>
      <c r="B11" s="269"/>
      <c r="C11" s="269"/>
      <c r="D11" s="269"/>
      <c r="E11" s="10" t="s">
        <v>96</v>
      </c>
      <c r="F11" s="10" t="s">
        <v>97</v>
      </c>
      <c r="G11" s="10" t="s">
        <v>98</v>
      </c>
      <c r="H11" s="10" t="s">
        <v>108</v>
      </c>
      <c r="I11" s="285"/>
      <c r="J11" s="285"/>
    </row>
    <row r="12" spans="1:10" ht="167.25" customHeight="1">
      <c r="A12" s="11" t="s">
        <v>50</v>
      </c>
      <c r="B12" s="256" t="s">
        <v>53</v>
      </c>
      <c r="C12" s="257"/>
      <c r="D12" s="12" t="s">
        <v>88</v>
      </c>
      <c r="E12" s="12"/>
      <c r="F12" s="13"/>
      <c r="G12" s="13"/>
      <c r="H12" s="13"/>
      <c r="I12" s="14" t="s">
        <v>89</v>
      </c>
      <c r="J12" s="15" t="s">
        <v>90</v>
      </c>
    </row>
    <row r="13" spans="1:10" ht="30.75" customHeight="1">
      <c r="A13" s="11"/>
      <c r="B13" s="276" t="s">
        <v>91</v>
      </c>
      <c r="C13" s="277"/>
      <c r="D13" s="11"/>
      <c r="E13" s="21" t="s">
        <v>106</v>
      </c>
      <c r="F13" s="22" t="s">
        <v>52</v>
      </c>
      <c r="G13" s="22" t="s">
        <v>52</v>
      </c>
      <c r="H13" s="13" t="s">
        <v>109</v>
      </c>
      <c r="I13" s="16"/>
      <c r="J13" s="17"/>
    </row>
    <row r="14" spans="1:10">
      <c r="A14" s="6"/>
      <c r="B14" s="6"/>
      <c r="C14" s="6"/>
      <c r="D14" s="6"/>
      <c r="E14" s="6"/>
      <c r="F14" s="6"/>
      <c r="G14" s="6"/>
      <c r="H14" s="6"/>
      <c r="I14" s="6"/>
      <c r="J14" s="18"/>
    </row>
    <row r="15" spans="1:10" ht="45.75" customHeight="1">
      <c r="A15" s="19" t="s">
        <v>92</v>
      </c>
      <c r="B15" s="278" t="s">
        <v>111</v>
      </c>
      <c r="C15" s="279"/>
      <c r="D15" s="279"/>
      <c r="E15" s="279"/>
      <c r="F15" s="279"/>
      <c r="G15" s="279"/>
      <c r="H15" s="279"/>
      <c r="I15" s="279"/>
      <c r="J15" s="279"/>
    </row>
    <row r="16" spans="1:10" ht="50.25" customHeight="1">
      <c r="A16" s="260" t="s">
        <v>93</v>
      </c>
      <c r="B16" s="261"/>
      <c r="C16" s="261"/>
      <c r="D16" s="261"/>
      <c r="E16" s="261"/>
      <c r="F16" s="261"/>
      <c r="G16" s="262"/>
      <c r="H16" s="258" t="s">
        <v>100</v>
      </c>
      <c r="I16" s="280" t="s">
        <v>101</v>
      </c>
      <c r="J16" s="280" t="s">
        <v>110</v>
      </c>
    </row>
    <row r="17" spans="1:10" ht="120.75" customHeight="1">
      <c r="A17" s="263"/>
      <c r="B17" s="264"/>
      <c r="C17" s="264"/>
      <c r="D17" s="264"/>
      <c r="E17" s="264"/>
      <c r="F17" s="264"/>
      <c r="G17" s="265"/>
      <c r="H17" s="259"/>
      <c r="I17" s="281"/>
      <c r="J17" s="281"/>
    </row>
    <row r="18" spans="1:10" ht="30" hidden="1" customHeight="1">
      <c r="A18" s="270" t="s">
        <v>94</v>
      </c>
      <c r="B18" s="271"/>
      <c r="C18" s="271"/>
      <c r="D18" s="271"/>
      <c r="E18" s="271"/>
      <c r="F18" s="271"/>
      <c r="G18" s="272"/>
      <c r="H18" s="20"/>
      <c r="I18" s="20"/>
      <c r="J18" s="20"/>
    </row>
    <row r="19" spans="1:10" ht="33.75" customHeight="1">
      <c r="A19" s="273" t="s">
        <v>95</v>
      </c>
      <c r="B19" s="274"/>
      <c r="C19" s="274"/>
      <c r="D19" s="274"/>
      <c r="E19" s="274"/>
      <c r="F19" s="274"/>
      <c r="G19" s="275"/>
      <c r="H19" s="23">
        <v>5800</v>
      </c>
      <c r="I19" s="23">
        <v>5800</v>
      </c>
      <c r="J19" s="23">
        <v>0</v>
      </c>
    </row>
  </sheetData>
  <mergeCells count="23">
    <mergeCell ref="B9:J9"/>
    <mergeCell ref="I10:I11"/>
    <mergeCell ref="H1:J1"/>
    <mergeCell ref="G4:J4"/>
    <mergeCell ref="G3:J3"/>
    <mergeCell ref="G2:J2"/>
    <mergeCell ref="A7:J7"/>
    <mergeCell ref="G5:H5"/>
    <mergeCell ref="I5:J5"/>
    <mergeCell ref="J10:J11"/>
    <mergeCell ref="A18:G18"/>
    <mergeCell ref="A19:G19"/>
    <mergeCell ref="B13:C13"/>
    <mergeCell ref="B15:J15"/>
    <mergeCell ref="J16:J17"/>
    <mergeCell ref="I16:I17"/>
    <mergeCell ref="B12:C12"/>
    <mergeCell ref="H16:H17"/>
    <mergeCell ref="A16:G17"/>
    <mergeCell ref="E10:H10"/>
    <mergeCell ref="A10:A11"/>
    <mergeCell ref="B10:C11"/>
    <mergeCell ref="D10:D11"/>
  </mergeCells>
  <phoneticPr fontId="0" type="noConversion"/>
  <pageMargins left="0.66" right="0.34" top="1" bottom="1" header="0.5" footer="0.5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view="pageLayout" zoomScaleNormal="100" zoomScaleSheetLayoutView="120" workbookViewId="0">
      <selection sqref="A1:J1"/>
    </sheetView>
  </sheetViews>
  <sheetFormatPr defaultRowHeight="12"/>
  <cols>
    <col min="1" max="1" width="9.77734375" style="133" customWidth="1"/>
    <col min="2" max="2" width="20.33203125" style="133" customWidth="1"/>
    <col min="3" max="3" width="9.5546875" style="133" customWidth="1"/>
    <col min="4" max="4" width="9.88671875" style="133" customWidth="1"/>
    <col min="5" max="5" width="29.109375" style="133" customWidth="1"/>
    <col min="6" max="6" width="3.5546875" style="133" hidden="1" customWidth="1"/>
    <col min="7" max="7" width="3.109375" style="133" hidden="1" customWidth="1"/>
    <col min="8" max="8" width="11.5546875" style="1" customWidth="1"/>
    <col min="9" max="9" width="11.88671875" style="1" customWidth="1"/>
    <col min="10" max="10" width="12.77734375" style="1" customWidth="1"/>
    <col min="11" max="16384" width="8.88671875" style="1"/>
  </cols>
  <sheetData>
    <row r="1" spans="1:10" ht="126" customHeight="1">
      <c r="A1" s="304" t="s">
        <v>1385</v>
      </c>
      <c r="B1" s="304"/>
      <c r="C1" s="304"/>
      <c r="D1" s="304"/>
      <c r="E1" s="304"/>
      <c r="F1" s="304"/>
      <c r="G1" s="304"/>
      <c r="H1" s="304"/>
      <c r="I1" s="304"/>
      <c r="J1" s="304"/>
    </row>
    <row r="2" spans="1:10" ht="143.25" customHeight="1">
      <c r="A2" s="304" t="s">
        <v>1275</v>
      </c>
      <c r="B2" s="304"/>
      <c r="C2" s="304"/>
      <c r="D2" s="304"/>
      <c r="E2" s="304"/>
      <c r="F2" s="304"/>
      <c r="G2" s="304"/>
      <c r="H2" s="304"/>
      <c r="I2" s="304"/>
      <c r="J2" s="304"/>
    </row>
    <row r="3" spans="1:10" ht="15.75">
      <c r="A3" s="305"/>
      <c r="B3" s="305"/>
      <c r="C3" s="305"/>
      <c r="D3" s="305"/>
      <c r="E3" s="305"/>
      <c r="F3" s="305"/>
      <c r="G3" s="305"/>
      <c r="H3" s="305"/>
      <c r="I3" s="305"/>
      <c r="J3" s="305"/>
    </row>
    <row r="4" spans="1:10" s="132" customFormat="1">
      <c r="A4" s="306" t="s">
        <v>1276</v>
      </c>
      <c r="B4" s="306"/>
      <c r="C4" s="306"/>
      <c r="D4" s="306"/>
      <c r="E4" s="306"/>
      <c r="F4" s="306"/>
      <c r="G4" s="306"/>
      <c r="H4" s="306"/>
      <c r="I4" s="306"/>
      <c r="J4" s="306"/>
    </row>
    <row r="5" spans="1:10">
      <c r="A5" s="306"/>
      <c r="B5" s="306"/>
      <c r="C5" s="306"/>
      <c r="D5" s="306"/>
      <c r="E5" s="306"/>
      <c r="F5" s="306"/>
      <c r="G5" s="306"/>
      <c r="H5" s="306"/>
      <c r="I5" s="306"/>
      <c r="J5" s="306"/>
    </row>
    <row r="6" spans="1:10" ht="45.75" customHeight="1">
      <c r="A6" s="306"/>
      <c r="B6" s="306"/>
      <c r="C6" s="306"/>
      <c r="D6" s="306"/>
      <c r="E6" s="306"/>
      <c r="F6" s="306"/>
      <c r="G6" s="306"/>
      <c r="H6" s="306"/>
      <c r="I6" s="306"/>
      <c r="J6" s="306"/>
    </row>
    <row r="7" spans="1:10">
      <c r="B7" s="307" t="s">
        <v>1</v>
      </c>
      <c r="C7" s="307"/>
      <c r="D7" s="307"/>
      <c r="E7" s="307"/>
      <c r="F7" s="307"/>
      <c r="G7" s="307"/>
      <c r="H7" s="307"/>
      <c r="I7" s="307"/>
      <c r="J7" s="307"/>
    </row>
    <row r="8" spans="1:10" ht="12.75">
      <c r="A8" s="290" t="s">
        <v>1277</v>
      </c>
      <c r="B8" s="291"/>
      <c r="C8" s="292" t="s">
        <v>1278</v>
      </c>
      <c r="D8" s="293"/>
      <c r="E8" s="293"/>
      <c r="F8" s="293"/>
      <c r="G8" s="294"/>
      <c r="H8" s="220" t="s">
        <v>458</v>
      </c>
      <c r="I8" s="220"/>
      <c r="J8" s="220"/>
    </row>
    <row r="9" spans="1:10">
      <c r="A9" s="301" t="s">
        <v>1279</v>
      </c>
      <c r="B9" s="303" t="s">
        <v>1280</v>
      </c>
      <c r="C9" s="295"/>
      <c r="D9" s="296"/>
      <c r="E9" s="296"/>
      <c r="F9" s="296"/>
      <c r="G9" s="297"/>
      <c r="H9" s="220"/>
      <c r="I9" s="220"/>
      <c r="J9" s="220"/>
    </row>
    <row r="10" spans="1:10" ht="87" customHeight="1">
      <c r="A10" s="302"/>
      <c r="B10" s="303"/>
      <c r="C10" s="298"/>
      <c r="D10" s="299"/>
      <c r="E10" s="299"/>
      <c r="F10" s="299"/>
      <c r="G10" s="300"/>
      <c r="H10" s="131" t="s">
        <v>459</v>
      </c>
      <c r="I10" s="131" t="s">
        <v>847</v>
      </c>
      <c r="J10" s="131" t="s">
        <v>930</v>
      </c>
    </row>
    <row r="11" spans="1:10" ht="39" customHeight="1">
      <c r="A11" s="308" t="s">
        <v>30</v>
      </c>
      <c r="B11" s="134"/>
      <c r="C11" s="311" t="s">
        <v>1281</v>
      </c>
      <c r="D11" s="312"/>
      <c r="E11" s="312"/>
      <c r="F11" s="312"/>
      <c r="G11" s="313"/>
      <c r="H11" s="135">
        <f>SUM(H12+H13+H14)</f>
        <v>4010.8999999999069</v>
      </c>
      <c r="I11" s="135">
        <f>SUM(I12+I13+I14)</f>
        <v>0</v>
      </c>
      <c r="J11" s="135">
        <f>SUM(J12+J13+J14)</f>
        <v>0</v>
      </c>
    </row>
    <row r="12" spans="1:10" s="138" customFormat="1" ht="38.25" hidden="1" customHeight="1">
      <c r="A12" s="309"/>
      <c r="B12" s="136" t="s">
        <v>1282</v>
      </c>
      <c r="C12" s="314" t="s">
        <v>1283</v>
      </c>
      <c r="D12" s="315"/>
      <c r="E12" s="315"/>
      <c r="F12" s="315"/>
      <c r="G12" s="316"/>
      <c r="H12" s="137">
        <f>150000+16000+12600-178600</f>
        <v>0</v>
      </c>
      <c r="I12" s="137">
        <f>162000+16000+12600-479.5-190120.5</f>
        <v>0</v>
      </c>
      <c r="J12" s="137">
        <f>168000+16000+12600-503.5-196096.5</f>
        <v>0</v>
      </c>
    </row>
    <row r="13" spans="1:10" ht="38.25" hidden="1" customHeight="1">
      <c r="A13" s="309"/>
      <c r="B13" s="136" t="s">
        <v>1284</v>
      </c>
      <c r="C13" s="314" t="s">
        <v>1285</v>
      </c>
      <c r="D13" s="315"/>
      <c r="E13" s="315"/>
      <c r="F13" s="315"/>
      <c r="G13" s="316"/>
      <c r="H13" s="137">
        <f>-134000-16000+150000</f>
        <v>0</v>
      </c>
      <c r="I13" s="137">
        <f>-150000-16000-12600+178600</f>
        <v>0</v>
      </c>
      <c r="J13" s="137">
        <f>-162000-16000-12600+190600</f>
        <v>0</v>
      </c>
    </row>
    <row r="14" spans="1:10" ht="29.25" customHeight="1">
      <c r="A14" s="309"/>
      <c r="B14" s="139" t="s">
        <v>1286</v>
      </c>
      <c r="C14" s="317" t="s">
        <v>1287</v>
      </c>
      <c r="D14" s="318"/>
      <c r="E14" s="318"/>
      <c r="F14" s="318"/>
      <c r="G14" s="319"/>
      <c r="H14" s="140">
        <f>SUM(H15+H16)</f>
        <v>4010.8999999999069</v>
      </c>
      <c r="I14" s="140">
        <f>SUM(I15+I16)</f>
        <v>0</v>
      </c>
      <c r="J14" s="140">
        <f>SUM(J15+J16)</f>
        <v>0</v>
      </c>
    </row>
    <row r="15" spans="1:10" ht="37.5" customHeight="1">
      <c r="A15" s="309"/>
      <c r="B15" s="139" t="s">
        <v>1288</v>
      </c>
      <c r="C15" s="320" t="s">
        <v>1289</v>
      </c>
      <c r="D15" s="321"/>
      <c r="E15" s="321"/>
      <c r="F15" s="321"/>
      <c r="G15" s="322"/>
      <c r="H15" s="141">
        <f>-1165700.5-(+H18)-(+H20)-(2505.3)-6661-61871.5-6259-7757.2-1244.9-5826.3-162112</f>
        <v>-1774937.7</v>
      </c>
      <c r="I15" s="142">
        <f>-1100993.1-(+I18)-2703.8-599.9</f>
        <v>-1350296.8</v>
      </c>
      <c r="J15" s="142">
        <f>-1104024.5-(+J18)-6243.4</f>
        <v>-1346267.9</v>
      </c>
    </row>
    <row r="16" spans="1:10" ht="41.25" customHeight="1">
      <c r="A16" s="310"/>
      <c r="B16" s="139" t="s">
        <v>1290</v>
      </c>
      <c r="C16" s="320" t="s">
        <v>1291</v>
      </c>
      <c r="D16" s="321"/>
      <c r="E16" s="321"/>
      <c r="F16" s="321"/>
      <c r="G16" s="322"/>
      <c r="H16" s="141">
        <f>1200700.5-H19-H23-(-1516.2)-(-6661)-(-61871.5)-(-6259)-(-7757.2)-(-1244.9)-(-5826.3)+162112</f>
        <v>1778948.5999999999</v>
      </c>
      <c r="I16" s="142">
        <f>1100993.1-I19+2703.8+599.9</f>
        <v>1350296.8</v>
      </c>
      <c r="J16" s="142">
        <f>1094024.5-J19+6243.4</f>
        <v>1346267.9</v>
      </c>
    </row>
    <row r="17" spans="1:10" s="145" customFormat="1" ht="21.75" customHeight="1">
      <c r="A17" s="188" t="s">
        <v>60</v>
      </c>
      <c r="B17" s="143"/>
      <c r="C17" s="326" t="s">
        <v>29</v>
      </c>
      <c r="D17" s="326"/>
      <c r="E17" s="326"/>
      <c r="F17" s="326"/>
      <c r="G17" s="326"/>
      <c r="H17" s="144">
        <f>SUM(H18+H19+H20+H23)</f>
        <v>30000</v>
      </c>
      <c r="I17" s="144">
        <f>SUM(I18+I19+I20+I23)</f>
        <v>0</v>
      </c>
      <c r="J17" s="144">
        <f>SUM(J18:J23)</f>
        <v>-10000</v>
      </c>
    </row>
    <row r="18" spans="1:10" s="145" customFormat="1" ht="43.5" customHeight="1">
      <c r="A18" s="189"/>
      <c r="B18" s="136" t="s">
        <v>1282</v>
      </c>
      <c r="C18" s="314" t="s">
        <v>1283</v>
      </c>
      <c r="D18" s="315"/>
      <c r="E18" s="315"/>
      <c r="F18" s="315"/>
      <c r="G18" s="316"/>
      <c r="H18" s="80">
        <f>92000+28000+30000+4000</f>
        <v>154000</v>
      </c>
      <c r="I18" s="137">
        <f>92000+28000+4000+30000+92000</f>
        <v>246000</v>
      </c>
      <c r="J18" s="137">
        <v>236000</v>
      </c>
    </row>
    <row r="19" spans="1:10" s="145" customFormat="1" ht="44.25" customHeight="1">
      <c r="A19" s="189"/>
      <c r="B19" s="136" t="s">
        <v>1284</v>
      </c>
      <c r="C19" s="314" t="s">
        <v>1285</v>
      </c>
      <c r="D19" s="315"/>
      <c r="E19" s="315"/>
      <c r="F19" s="315"/>
      <c r="G19" s="316"/>
      <c r="H19" s="80">
        <f>-92000-28000-4000</f>
        <v>-124000</v>
      </c>
      <c r="I19" s="98">
        <v>-246000</v>
      </c>
      <c r="J19" s="98">
        <v>-246000</v>
      </c>
    </row>
    <row r="20" spans="1:10" s="145" customFormat="1" ht="62.25" customHeight="1">
      <c r="A20" s="189"/>
      <c r="B20" s="146" t="s">
        <v>1292</v>
      </c>
      <c r="C20" s="327" t="s">
        <v>1293</v>
      </c>
      <c r="D20" s="328"/>
      <c r="E20" s="328"/>
      <c r="F20" s="147"/>
      <c r="G20" s="147"/>
      <c r="H20" s="148">
        <f>SUM(H21:H22)</f>
        <v>201000</v>
      </c>
      <c r="I20" s="149">
        <f t="shared" ref="I20:J20" si="0">SUM(I21:I22)</f>
        <v>0</v>
      </c>
      <c r="J20" s="149">
        <f t="shared" si="0"/>
        <v>0</v>
      </c>
    </row>
    <row r="21" spans="1:10" s="145" customFormat="1" ht="33.75" customHeight="1">
      <c r="A21" s="189"/>
      <c r="B21" s="146"/>
      <c r="C21" s="323" t="s">
        <v>1294</v>
      </c>
      <c r="D21" s="324"/>
      <c r="E21" s="324"/>
      <c r="F21" s="150"/>
      <c r="G21" s="150"/>
      <c r="H21" s="151">
        <f>114000+57000</f>
        <v>171000</v>
      </c>
      <c r="I21" s="151">
        <v>0</v>
      </c>
      <c r="J21" s="151">
        <v>0</v>
      </c>
    </row>
    <row r="22" spans="1:10" s="145" customFormat="1" ht="48" customHeight="1">
      <c r="A22" s="189"/>
      <c r="B22" s="146"/>
      <c r="C22" s="323" t="s">
        <v>1295</v>
      </c>
      <c r="D22" s="324"/>
      <c r="E22" s="324"/>
      <c r="F22" s="150"/>
      <c r="G22" s="150"/>
      <c r="H22" s="151">
        <v>30000</v>
      </c>
      <c r="I22" s="151">
        <v>0</v>
      </c>
      <c r="J22" s="151">
        <v>0</v>
      </c>
    </row>
    <row r="23" spans="1:10" s="145" customFormat="1" ht="63.75" customHeight="1">
      <c r="A23" s="189"/>
      <c r="B23" s="146" t="s">
        <v>1296</v>
      </c>
      <c r="C23" s="327" t="s">
        <v>1297</v>
      </c>
      <c r="D23" s="328"/>
      <c r="E23" s="328"/>
      <c r="F23" s="147"/>
      <c r="G23" s="147"/>
      <c r="H23" s="148">
        <f>SUM(H26:H27)</f>
        <v>-201000</v>
      </c>
      <c r="I23" s="149">
        <f t="shared" ref="I23:J23" si="1">SUM(I26:I27)</f>
        <v>0</v>
      </c>
      <c r="J23" s="149">
        <f t="shared" si="1"/>
        <v>0</v>
      </c>
    </row>
    <row r="24" spans="1:10" s="145" customFormat="1" ht="84.75" hidden="1" customHeight="1">
      <c r="A24" s="189"/>
      <c r="B24" s="146" t="s">
        <v>1292</v>
      </c>
      <c r="C24" s="329" t="s">
        <v>1298</v>
      </c>
      <c r="D24" s="330"/>
      <c r="E24" s="330"/>
      <c r="F24" s="147"/>
      <c r="G24" s="147"/>
      <c r="H24" s="148">
        <v>0</v>
      </c>
      <c r="I24" s="148">
        <v>0</v>
      </c>
      <c r="J24" s="148">
        <v>0</v>
      </c>
    </row>
    <row r="25" spans="1:10" s="145" customFormat="1" ht="69.75" hidden="1" customHeight="1">
      <c r="A25" s="190"/>
      <c r="B25" s="146" t="s">
        <v>1296</v>
      </c>
      <c r="C25" s="329" t="s">
        <v>1299</v>
      </c>
      <c r="D25" s="330"/>
      <c r="E25" s="330"/>
      <c r="F25" s="147"/>
      <c r="G25" s="147"/>
      <c r="H25" s="148">
        <v>0</v>
      </c>
      <c r="I25" s="148">
        <v>0</v>
      </c>
      <c r="J25" s="148">
        <v>0</v>
      </c>
    </row>
    <row r="26" spans="1:10" s="145" customFormat="1" ht="34.5" customHeight="1">
      <c r="A26" s="187"/>
      <c r="B26" s="146"/>
      <c r="C26" s="323" t="s">
        <v>1294</v>
      </c>
      <c r="D26" s="324"/>
      <c r="E26" s="324"/>
      <c r="F26" s="150"/>
      <c r="G26" s="150"/>
      <c r="H26" s="151">
        <f>-114000-57000</f>
        <v>-171000</v>
      </c>
      <c r="I26" s="151">
        <v>0</v>
      </c>
      <c r="J26" s="151">
        <v>0</v>
      </c>
    </row>
    <row r="27" spans="1:10" s="145" customFormat="1" ht="50.25" customHeight="1">
      <c r="A27" s="152"/>
      <c r="B27" s="146"/>
      <c r="C27" s="323" t="s">
        <v>1295</v>
      </c>
      <c r="D27" s="324"/>
      <c r="E27" s="324"/>
      <c r="F27" s="150"/>
      <c r="G27" s="150"/>
      <c r="H27" s="151">
        <v>-30000</v>
      </c>
      <c r="I27" s="151">
        <v>0</v>
      </c>
      <c r="J27" s="151">
        <v>0</v>
      </c>
    </row>
    <row r="28" spans="1:10" s="145" customFormat="1" ht="54" customHeight="1">
      <c r="A28" s="153"/>
      <c r="B28" s="154" t="s">
        <v>1300</v>
      </c>
      <c r="C28" s="325" t="s">
        <v>1301</v>
      </c>
      <c r="D28" s="325"/>
      <c r="E28" s="325"/>
      <c r="F28" s="155"/>
      <c r="G28" s="155"/>
      <c r="H28" s="156">
        <f>-H11-H17</f>
        <v>-34010.899999999907</v>
      </c>
      <c r="I28" s="156">
        <f t="shared" ref="I28:J28" si="2">-I11-I17</f>
        <v>0</v>
      </c>
      <c r="J28" s="156">
        <f t="shared" si="2"/>
        <v>10000</v>
      </c>
    </row>
    <row r="29" spans="1:10" s="145" customFormat="1">
      <c r="A29" s="133"/>
      <c r="B29" s="133"/>
      <c r="C29" s="133"/>
      <c r="D29" s="133"/>
      <c r="E29" s="133"/>
      <c r="F29" s="133"/>
      <c r="G29" s="133"/>
      <c r="H29" s="1"/>
    </row>
    <row r="30" spans="1:10" ht="18.75">
      <c r="B30" s="56"/>
      <c r="E30" s="157"/>
    </row>
    <row r="31" spans="1:10" ht="15.75">
      <c r="B31" s="126"/>
    </row>
    <row r="103" spans="1:7" s="159" customFormat="1">
      <c r="A103" s="158"/>
      <c r="C103" s="158"/>
      <c r="D103" s="158"/>
      <c r="E103" s="158"/>
      <c r="F103" s="158"/>
      <c r="G103" s="158"/>
    </row>
  </sheetData>
  <mergeCells count="29">
    <mergeCell ref="C26:E26"/>
    <mergeCell ref="C27:E27"/>
    <mergeCell ref="C28:E28"/>
    <mergeCell ref="C17:G17"/>
    <mergeCell ref="C18:G18"/>
    <mergeCell ref="C19:G19"/>
    <mergeCell ref="C20:E20"/>
    <mergeCell ref="C21:E21"/>
    <mergeCell ref="C22:E22"/>
    <mergeCell ref="C23:E23"/>
    <mergeCell ref="C24:E24"/>
    <mergeCell ref="C25:E25"/>
    <mergeCell ref="A11:A16"/>
    <mergeCell ref="C11:G11"/>
    <mergeCell ref="C12:G12"/>
    <mergeCell ref="C13:G13"/>
    <mergeCell ref="C14:G14"/>
    <mergeCell ref="C15:G15"/>
    <mergeCell ref="C16:G16"/>
    <mergeCell ref="A1:J1"/>
    <mergeCell ref="A2:J2"/>
    <mergeCell ref="A3:J3"/>
    <mergeCell ref="A4:J6"/>
    <mergeCell ref="B7:J7"/>
    <mergeCell ref="A8:B8"/>
    <mergeCell ref="C8:G10"/>
    <mergeCell ref="H8:J9"/>
    <mergeCell ref="A9:A10"/>
    <mergeCell ref="B9:B10"/>
  </mergeCells>
  <pageMargins left="0.70866141732283472" right="0.70866141732283472" top="0.74803149606299213" bottom="0.74803149606299213" header="0.31496062992125984" footer="0.31496062992125984"/>
  <pageSetup paperSize="9" scale="69" firstPageNumber="19" orientation="portrait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694"/>
  <sheetViews>
    <sheetView view="pageLayout" topLeftCell="A64" zoomScaleNormal="100" zoomScaleSheetLayoutView="140" workbookViewId="0">
      <selection activeCell="F15" sqref="F15"/>
    </sheetView>
  </sheetViews>
  <sheetFormatPr defaultRowHeight="15.75"/>
  <cols>
    <col min="1" max="1" width="31.6640625" style="194" customWidth="1"/>
    <col min="2" max="3" width="4.44140625" style="194" customWidth="1"/>
    <col min="4" max="4" width="10.88671875" style="194" customWidth="1"/>
    <col min="5" max="5" width="4.44140625" style="194" customWidth="1"/>
    <col min="6" max="6" width="12" style="194" customWidth="1"/>
    <col min="7" max="7" width="13.109375" style="194" customWidth="1"/>
    <col min="8" max="8" width="12.5546875" style="194" customWidth="1"/>
    <col min="9" max="14" width="0.109375" style="194" customWidth="1"/>
    <col min="15" max="15" width="6.88671875" style="194" customWidth="1"/>
    <col min="16" max="256" width="8.88671875" style="194"/>
    <col min="257" max="257" width="31.6640625" style="194" customWidth="1"/>
    <col min="258" max="259" width="4.44140625" style="194" customWidth="1"/>
    <col min="260" max="260" width="9.88671875" style="194" customWidth="1"/>
    <col min="261" max="261" width="4.44140625" style="194" customWidth="1"/>
    <col min="262" max="264" width="13" style="194" customWidth="1"/>
    <col min="265" max="270" width="0.109375" style="194" customWidth="1"/>
    <col min="271" max="271" width="6.88671875" style="194" customWidth="1"/>
    <col min="272" max="512" width="8.88671875" style="194"/>
    <col min="513" max="513" width="31.6640625" style="194" customWidth="1"/>
    <col min="514" max="515" width="4.44140625" style="194" customWidth="1"/>
    <col min="516" max="516" width="9.88671875" style="194" customWidth="1"/>
    <col min="517" max="517" width="4.44140625" style="194" customWidth="1"/>
    <col min="518" max="520" width="13" style="194" customWidth="1"/>
    <col min="521" max="526" width="0.109375" style="194" customWidth="1"/>
    <col min="527" max="527" width="6.88671875" style="194" customWidth="1"/>
    <col min="528" max="768" width="8.88671875" style="194"/>
    <col min="769" max="769" width="31.6640625" style="194" customWidth="1"/>
    <col min="770" max="771" width="4.44140625" style="194" customWidth="1"/>
    <col min="772" max="772" width="9.88671875" style="194" customWidth="1"/>
    <col min="773" max="773" width="4.44140625" style="194" customWidth="1"/>
    <col min="774" max="776" width="13" style="194" customWidth="1"/>
    <col min="777" max="782" width="0.109375" style="194" customWidth="1"/>
    <col min="783" max="783" width="6.88671875" style="194" customWidth="1"/>
    <col min="784" max="1024" width="8.88671875" style="194"/>
    <col min="1025" max="1025" width="31.6640625" style="194" customWidth="1"/>
    <col min="1026" max="1027" width="4.44140625" style="194" customWidth="1"/>
    <col min="1028" max="1028" width="9.88671875" style="194" customWidth="1"/>
    <col min="1029" max="1029" width="4.44140625" style="194" customWidth="1"/>
    <col min="1030" max="1032" width="13" style="194" customWidth="1"/>
    <col min="1033" max="1038" width="0.109375" style="194" customWidth="1"/>
    <col min="1039" max="1039" width="6.88671875" style="194" customWidth="1"/>
    <col min="1040" max="1280" width="8.88671875" style="194"/>
    <col min="1281" max="1281" width="31.6640625" style="194" customWidth="1"/>
    <col min="1282" max="1283" width="4.44140625" style="194" customWidth="1"/>
    <col min="1284" max="1284" width="9.88671875" style="194" customWidth="1"/>
    <col min="1285" max="1285" width="4.44140625" style="194" customWidth="1"/>
    <col min="1286" max="1288" width="13" style="194" customWidth="1"/>
    <col min="1289" max="1294" width="0.109375" style="194" customWidth="1"/>
    <col min="1295" max="1295" width="6.88671875" style="194" customWidth="1"/>
    <col min="1296" max="1536" width="8.88671875" style="194"/>
    <col min="1537" max="1537" width="31.6640625" style="194" customWidth="1"/>
    <col min="1538" max="1539" width="4.44140625" style="194" customWidth="1"/>
    <col min="1540" max="1540" width="9.88671875" style="194" customWidth="1"/>
    <col min="1541" max="1541" width="4.44140625" style="194" customWidth="1"/>
    <col min="1542" max="1544" width="13" style="194" customWidth="1"/>
    <col min="1545" max="1550" width="0.109375" style="194" customWidth="1"/>
    <col min="1551" max="1551" width="6.88671875" style="194" customWidth="1"/>
    <col min="1552" max="1792" width="8.88671875" style="194"/>
    <col min="1793" max="1793" width="31.6640625" style="194" customWidth="1"/>
    <col min="1794" max="1795" width="4.44140625" style="194" customWidth="1"/>
    <col min="1796" max="1796" width="9.88671875" style="194" customWidth="1"/>
    <col min="1797" max="1797" width="4.44140625" style="194" customWidth="1"/>
    <col min="1798" max="1800" width="13" style="194" customWidth="1"/>
    <col min="1801" max="1806" width="0.109375" style="194" customWidth="1"/>
    <col min="1807" max="1807" width="6.88671875" style="194" customWidth="1"/>
    <col min="1808" max="2048" width="8.88671875" style="194"/>
    <col min="2049" max="2049" width="31.6640625" style="194" customWidth="1"/>
    <col min="2050" max="2051" width="4.44140625" style="194" customWidth="1"/>
    <col min="2052" max="2052" width="9.88671875" style="194" customWidth="1"/>
    <col min="2053" max="2053" width="4.44140625" style="194" customWidth="1"/>
    <col min="2054" max="2056" width="13" style="194" customWidth="1"/>
    <col min="2057" max="2062" width="0.109375" style="194" customWidth="1"/>
    <col min="2063" max="2063" width="6.88671875" style="194" customWidth="1"/>
    <col min="2064" max="2304" width="8.88671875" style="194"/>
    <col min="2305" max="2305" width="31.6640625" style="194" customWidth="1"/>
    <col min="2306" max="2307" width="4.44140625" style="194" customWidth="1"/>
    <col min="2308" max="2308" width="9.88671875" style="194" customWidth="1"/>
    <col min="2309" max="2309" width="4.44140625" style="194" customWidth="1"/>
    <col min="2310" max="2312" width="13" style="194" customWidth="1"/>
    <col min="2313" max="2318" width="0.109375" style="194" customWidth="1"/>
    <col min="2319" max="2319" width="6.88671875" style="194" customWidth="1"/>
    <col min="2320" max="2560" width="8.88671875" style="194"/>
    <col min="2561" max="2561" width="31.6640625" style="194" customWidth="1"/>
    <col min="2562" max="2563" width="4.44140625" style="194" customWidth="1"/>
    <col min="2564" max="2564" width="9.88671875" style="194" customWidth="1"/>
    <col min="2565" max="2565" width="4.44140625" style="194" customWidth="1"/>
    <col min="2566" max="2568" width="13" style="194" customWidth="1"/>
    <col min="2569" max="2574" width="0.109375" style="194" customWidth="1"/>
    <col min="2575" max="2575" width="6.88671875" style="194" customWidth="1"/>
    <col min="2576" max="2816" width="8.88671875" style="194"/>
    <col min="2817" max="2817" width="31.6640625" style="194" customWidth="1"/>
    <col min="2818" max="2819" width="4.44140625" style="194" customWidth="1"/>
    <col min="2820" max="2820" width="9.88671875" style="194" customWidth="1"/>
    <col min="2821" max="2821" width="4.44140625" style="194" customWidth="1"/>
    <col min="2822" max="2824" width="13" style="194" customWidth="1"/>
    <col min="2825" max="2830" width="0.109375" style="194" customWidth="1"/>
    <col min="2831" max="2831" width="6.88671875" style="194" customWidth="1"/>
    <col min="2832" max="3072" width="8.88671875" style="194"/>
    <col min="3073" max="3073" width="31.6640625" style="194" customWidth="1"/>
    <col min="3074" max="3075" width="4.44140625" style="194" customWidth="1"/>
    <col min="3076" max="3076" width="9.88671875" style="194" customWidth="1"/>
    <col min="3077" max="3077" width="4.44140625" style="194" customWidth="1"/>
    <col min="3078" max="3080" width="13" style="194" customWidth="1"/>
    <col min="3081" max="3086" width="0.109375" style="194" customWidth="1"/>
    <col min="3087" max="3087" width="6.88671875" style="194" customWidth="1"/>
    <col min="3088" max="3328" width="8.88671875" style="194"/>
    <col min="3329" max="3329" width="31.6640625" style="194" customWidth="1"/>
    <col min="3330" max="3331" width="4.44140625" style="194" customWidth="1"/>
    <col min="3332" max="3332" width="9.88671875" style="194" customWidth="1"/>
    <col min="3333" max="3333" width="4.44140625" style="194" customWidth="1"/>
    <col min="3334" max="3336" width="13" style="194" customWidth="1"/>
    <col min="3337" max="3342" width="0.109375" style="194" customWidth="1"/>
    <col min="3343" max="3343" width="6.88671875" style="194" customWidth="1"/>
    <col min="3344" max="3584" width="8.88671875" style="194"/>
    <col min="3585" max="3585" width="31.6640625" style="194" customWidth="1"/>
    <col min="3586" max="3587" width="4.44140625" style="194" customWidth="1"/>
    <col min="3588" max="3588" width="9.88671875" style="194" customWidth="1"/>
    <col min="3589" max="3589" width="4.44140625" style="194" customWidth="1"/>
    <col min="3590" max="3592" width="13" style="194" customWidth="1"/>
    <col min="3593" max="3598" width="0.109375" style="194" customWidth="1"/>
    <col min="3599" max="3599" width="6.88671875" style="194" customWidth="1"/>
    <col min="3600" max="3840" width="8.88671875" style="194"/>
    <col min="3841" max="3841" width="31.6640625" style="194" customWidth="1"/>
    <col min="3842" max="3843" width="4.44140625" style="194" customWidth="1"/>
    <col min="3844" max="3844" width="9.88671875" style="194" customWidth="1"/>
    <col min="3845" max="3845" width="4.44140625" style="194" customWidth="1"/>
    <col min="3846" max="3848" width="13" style="194" customWidth="1"/>
    <col min="3849" max="3854" width="0.109375" style="194" customWidth="1"/>
    <col min="3855" max="3855" width="6.88671875" style="194" customWidth="1"/>
    <col min="3856" max="4096" width="8.88671875" style="194"/>
    <col min="4097" max="4097" width="31.6640625" style="194" customWidth="1"/>
    <col min="4098" max="4099" width="4.44140625" style="194" customWidth="1"/>
    <col min="4100" max="4100" width="9.88671875" style="194" customWidth="1"/>
    <col min="4101" max="4101" width="4.44140625" style="194" customWidth="1"/>
    <col min="4102" max="4104" width="13" style="194" customWidth="1"/>
    <col min="4105" max="4110" width="0.109375" style="194" customWidth="1"/>
    <col min="4111" max="4111" width="6.88671875" style="194" customWidth="1"/>
    <col min="4112" max="4352" width="8.88671875" style="194"/>
    <col min="4353" max="4353" width="31.6640625" style="194" customWidth="1"/>
    <col min="4354" max="4355" width="4.44140625" style="194" customWidth="1"/>
    <col min="4356" max="4356" width="9.88671875" style="194" customWidth="1"/>
    <col min="4357" max="4357" width="4.44140625" style="194" customWidth="1"/>
    <col min="4358" max="4360" width="13" style="194" customWidth="1"/>
    <col min="4361" max="4366" width="0.109375" style="194" customWidth="1"/>
    <col min="4367" max="4367" width="6.88671875" style="194" customWidth="1"/>
    <col min="4368" max="4608" width="8.88671875" style="194"/>
    <col min="4609" max="4609" width="31.6640625" style="194" customWidth="1"/>
    <col min="4610" max="4611" width="4.44140625" style="194" customWidth="1"/>
    <col min="4612" max="4612" width="9.88671875" style="194" customWidth="1"/>
    <col min="4613" max="4613" width="4.44140625" style="194" customWidth="1"/>
    <col min="4614" max="4616" width="13" style="194" customWidth="1"/>
    <col min="4617" max="4622" width="0.109375" style="194" customWidth="1"/>
    <col min="4623" max="4623" width="6.88671875" style="194" customWidth="1"/>
    <col min="4624" max="4864" width="8.88671875" style="194"/>
    <col min="4865" max="4865" width="31.6640625" style="194" customWidth="1"/>
    <col min="4866" max="4867" width="4.44140625" style="194" customWidth="1"/>
    <col min="4868" max="4868" width="9.88671875" style="194" customWidth="1"/>
    <col min="4869" max="4869" width="4.44140625" style="194" customWidth="1"/>
    <col min="4870" max="4872" width="13" style="194" customWidth="1"/>
    <col min="4873" max="4878" width="0.109375" style="194" customWidth="1"/>
    <col min="4879" max="4879" width="6.88671875" style="194" customWidth="1"/>
    <col min="4880" max="5120" width="8.88671875" style="194"/>
    <col min="5121" max="5121" width="31.6640625" style="194" customWidth="1"/>
    <col min="5122" max="5123" width="4.44140625" style="194" customWidth="1"/>
    <col min="5124" max="5124" width="9.88671875" style="194" customWidth="1"/>
    <col min="5125" max="5125" width="4.44140625" style="194" customWidth="1"/>
    <col min="5126" max="5128" width="13" style="194" customWidth="1"/>
    <col min="5129" max="5134" width="0.109375" style="194" customWidth="1"/>
    <col min="5135" max="5135" width="6.88671875" style="194" customWidth="1"/>
    <col min="5136" max="5376" width="8.88671875" style="194"/>
    <col min="5377" max="5377" width="31.6640625" style="194" customWidth="1"/>
    <col min="5378" max="5379" width="4.44140625" style="194" customWidth="1"/>
    <col min="5380" max="5380" width="9.88671875" style="194" customWidth="1"/>
    <col min="5381" max="5381" width="4.44140625" style="194" customWidth="1"/>
    <col min="5382" max="5384" width="13" style="194" customWidth="1"/>
    <col min="5385" max="5390" width="0.109375" style="194" customWidth="1"/>
    <col min="5391" max="5391" width="6.88671875" style="194" customWidth="1"/>
    <col min="5392" max="5632" width="8.88671875" style="194"/>
    <col min="5633" max="5633" width="31.6640625" style="194" customWidth="1"/>
    <col min="5634" max="5635" width="4.44140625" style="194" customWidth="1"/>
    <col min="5636" max="5636" width="9.88671875" style="194" customWidth="1"/>
    <col min="5637" max="5637" width="4.44140625" style="194" customWidth="1"/>
    <col min="5638" max="5640" width="13" style="194" customWidth="1"/>
    <col min="5641" max="5646" width="0.109375" style="194" customWidth="1"/>
    <col min="5647" max="5647" width="6.88671875" style="194" customWidth="1"/>
    <col min="5648" max="5888" width="8.88671875" style="194"/>
    <col min="5889" max="5889" width="31.6640625" style="194" customWidth="1"/>
    <col min="5890" max="5891" width="4.44140625" style="194" customWidth="1"/>
    <col min="5892" max="5892" width="9.88671875" style="194" customWidth="1"/>
    <col min="5893" max="5893" width="4.44140625" style="194" customWidth="1"/>
    <col min="5894" max="5896" width="13" style="194" customWidth="1"/>
    <col min="5897" max="5902" width="0.109375" style="194" customWidth="1"/>
    <col min="5903" max="5903" width="6.88671875" style="194" customWidth="1"/>
    <col min="5904" max="6144" width="8.88671875" style="194"/>
    <col min="6145" max="6145" width="31.6640625" style="194" customWidth="1"/>
    <col min="6146" max="6147" width="4.44140625" style="194" customWidth="1"/>
    <col min="6148" max="6148" width="9.88671875" style="194" customWidth="1"/>
    <col min="6149" max="6149" width="4.44140625" style="194" customWidth="1"/>
    <col min="6150" max="6152" width="13" style="194" customWidth="1"/>
    <col min="6153" max="6158" width="0.109375" style="194" customWidth="1"/>
    <col min="6159" max="6159" width="6.88671875" style="194" customWidth="1"/>
    <col min="6160" max="6400" width="8.88671875" style="194"/>
    <col min="6401" max="6401" width="31.6640625" style="194" customWidth="1"/>
    <col min="6402" max="6403" width="4.44140625" style="194" customWidth="1"/>
    <col min="6404" max="6404" width="9.88671875" style="194" customWidth="1"/>
    <col min="6405" max="6405" width="4.44140625" style="194" customWidth="1"/>
    <col min="6406" max="6408" width="13" style="194" customWidth="1"/>
    <col min="6409" max="6414" width="0.109375" style="194" customWidth="1"/>
    <col min="6415" max="6415" width="6.88671875" style="194" customWidth="1"/>
    <col min="6416" max="6656" width="8.88671875" style="194"/>
    <col min="6657" max="6657" width="31.6640625" style="194" customWidth="1"/>
    <col min="6658" max="6659" width="4.44140625" style="194" customWidth="1"/>
    <col min="6660" max="6660" width="9.88671875" style="194" customWidth="1"/>
    <col min="6661" max="6661" width="4.44140625" style="194" customWidth="1"/>
    <col min="6662" max="6664" width="13" style="194" customWidth="1"/>
    <col min="6665" max="6670" width="0.109375" style="194" customWidth="1"/>
    <col min="6671" max="6671" width="6.88671875" style="194" customWidth="1"/>
    <col min="6672" max="6912" width="8.88671875" style="194"/>
    <col min="6913" max="6913" width="31.6640625" style="194" customWidth="1"/>
    <col min="6914" max="6915" width="4.44140625" style="194" customWidth="1"/>
    <col min="6916" max="6916" width="9.88671875" style="194" customWidth="1"/>
    <col min="6917" max="6917" width="4.44140625" style="194" customWidth="1"/>
    <col min="6918" max="6920" width="13" style="194" customWidth="1"/>
    <col min="6921" max="6926" width="0.109375" style="194" customWidth="1"/>
    <col min="6927" max="6927" width="6.88671875" style="194" customWidth="1"/>
    <col min="6928" max="7168" width="8.88671875" style="194"/>
    <col min="7169" max="7169" width="31.6640625" style="194" customWidth="1"/>
    <col min="7170" max="7171" width="4.44140625" style="194" customWidth="1"/>
    <col min="7172" max="7172" width="9.88671875" style="194" customWidth="1"/>
    <col min="7173" max="7173" width="4.44140625" style="194" customWidth="1"/>
    <col min="7174" max="7176" width="13" style="194" customWidth="1"/>
    <col min="7177" max="7182" width="0.109375" style="194" customWidth="1"/>
    <col min="7183" max="7183" width="6.88671875" style="194" customWidth="1"/>
    <col min="7184" max="7424" width="8.88671875" style="194"/>
    <col min="7425" max="7425" width="31.6640625" style="194" customWidth="1"/>
    <col min="7426" max="7427" width="4.44140625" style="194" customWidth="1"/>
    <col min="7428" max="7428" width="9.88671875" style="194" customWidth="1"/>
    <col min="7429" max="7429" width="4.44140625" style="194" customWidth="1"/>
    <col min="7430" max="7432" width="13" style="194" customWidth="1"/>
    <col min="7433" max="7438" width="0.109375" style="194" customWidth="1"/>
    <col min="7439" max="7439" width="6.88671875" style="194" customWidth="1"/>
    <col min="7440" max="7680" width="8.88671875" style="194"/>
    <col min="7681" max="7681" width="31.6640625" style="194" customWidth="1"/>
    <col min="7682" max="7683" width="4.44140625" style="194" customWidth="1"/>
    <col min="7684" max="7684" width="9.88671875" style="194" customWidth="1"/>
    <col min="7685" max="7685" width="4.44140625" style="194" customWidth="1"/>
    <col min="7686" max="7688" width="13" style="194" customWidth="1"/>
    <col min="7689" max="7694" width="0.109375" style="194" customWidth="1"/>
    <col min="7695" max="7695" width="6.88671875" style="194" customWidth="1"/>
    <col min="7696" max="7936" width="8.88671875" style="194"/>
    <col min="7937" max="7937" width="31.6640625" style="194" customWidth="1"/>
    <col min="7938" max="7939" width="4.44140625" style="194" customWidth="1"/>
    <col min="7940" max="7940" width="9.88671875" style="194" customWidth="1"/>
    <col min="7941" max="7941" width="4.44140625" style="194" customWidth="1"/>
    <col min="7942" max="7944" width="13" style="194" customWidth="1"/>
    <col min="7945" max="7950" width="0.109375" style="194" customWidth="1"/>
    <col min="7951" max="7951" width="6.88671875" style="194" customWidth="1"/>
    <col min="7952" max="8192" width="8.88671875" style="194"/>
    <col min="8193" max="8193" width="31.6640625" style="194" customWidth="1"/>
    <col min="8194" max="8195" width="4.44140625" style="194" customWidth="1"/>
    <col min="8196" max="8196" width="9.88671875" style="194" customWidth="1"/>
    <col min="8197" max="8197" width="4.44140625" style="194" customWidth="1"/>
    <col min="8198" max="8200" width="13" style="194" customWidth="1"/>
    <col min="8201" max="8206" width="0.109375" style="194" customWidth="1"/>
    <col min="8207" max="8207" width="6.88671875" style="194" customWidth="1"/>
    <col min="8208" max="8448" width="8.88671875" style="194"/>
    <col min="8449" max="8449" width="31.6640625" style="194" customWidth="1"/>
    <col min="8450" max="8451" width="4.44140625" style="194" customWidth="1"/>
    <col min="8452" max="8452" width="9.88671875" style="194" customWidth="1"/>
    <col min="8453" max="8453" width="4.44140625" style="194" customWidth="1"/>
    <col min="8454" max="8456" width="13" style="194" customWidth="1"/>
    <col min="8457" max="8462" width="0.109375" style="194" customWidth="1"/>
    <col min="8463" max="8463" width="6.88671875" style="194" customWidth="1"/>
    <col min="8464" max="8704" width="8.88671875" style="194"/>
    <col min="8705" max="8705" width="31.6640625" style="194" customWidth="1"/>
    <col min="8706" max="8707" width="4.44140625" style="194" customWidth="1"/>
    <col min="8708" max="8708" width="9.88671875" style="194" customWidth="1"/>
    <col min="8709" max="8709" width="4.44140625" style="194" customWidth="1"/>
    <col min="8710" max="8712" width="13" style="194" customWidth="1"/>
    <col min="8713" max="8718" width="0.109375" style="194" customWidth="1"/>
    <col min="8719" max="8719" width="6.88671875" style="194" customWidth="1"/>
    <col min="8720" max="8960" width="8.88671875" style="194"/>
    <col min="8961" max="8961" width="31.6640625" style="194" customWidth="1"/>
    <col min="8962" max="8963" width="4.44140625" style="194" customWidth="1"/>
    <col min="8964" max="8964" width="9.88671875" style="194" customWidth="1"/>
    <col min="8965" max="8965" width="4.44140625" style="194" customWidth="1"/>
    <col min="8966" max="8968" width="13" style="194" customWidth="1"/>
    <col min="8969" max="8974" width="0.109375" style="194" customWidth="1"/>
    <col min="8975" max="8975" width="6.88671875" style="194" customWidth="1"/>
    <col min="8976" max="9216" width="8.88671875" style="194"/>
    <col min="9217" max="9217" width="31.6640625" style="194" customWidth="1"/>
    <col min="9218" max="9219" width="4.44140625" style="194" customWidth="1"/>
    <col min="9220" max="9220" width="9.88671875" style="194" customWidth="1"/>
    <col min="9221" max="9221" width="4.44140625" style="194" customWidth="1"/>
    <col min="9222" max="9224" width="13" style="194" customWidth="1"/>
    <col min="9225" max="9230" width="0.109375" style="194" customWidth="1"/>
    <col min="9231" max="9231" width="6.88671875" style="194" customWidth="1"/>
    <col min="9232" max="9472" width="8.88671875" style="194"/>
    <col min="9473" max="9473" width="31.6640625" style="194" customWidth="1"/>
    <col min="9474" max="9475" width="4.44140625" style="194" customWidth="1"/>
    <col min="9476" max="9476" width="9.88671875" style="194" customWidth="1"/>
    <col min="9477" max="9477" width="4.44140625" style="194" customWidth="1"/>
    <col min="9478" max="9480" width="13" style="194" customWidth="1"/>
    <col min="9481" max="9486" width="0.109375" style="194" customWidth="1"/>
    <col min="9487" max="9487" width="6.88671875" style="194" customWidth="1"/>
    <col min="9488" max="9728" width="8.88671875" style="194"/>
    <col min="9729" max="9729" width="31.6640625" style="194" customWidth="1"/>
    <col min="9730" max="9731" width="4.44140625" style="194" customWidth="1"/>
    <col min="9732" max="9732" width="9.88671875" style="194" customWidth="1"/>
    <col min="9733" max="9733" width="4.44140625" style="194" customWidth="1"/>
    <col min="9734" max="9736" width="13" style="194" customWidth="1"/>
    <col min="9737" max="9742" width="0.109375" style="194" customWidth="1"/>
    <col min="9743" max="9743" width="6.88671875" style="194" customWidth="1"/>
    <col min="9744" max="9984" width="8.88671875" style="194"/>
    <col min="9985" max="9985" width="31.6640625" style="194" customWidth="1"/>
    <col min="9986" max="9987" width="4.44140625" style="194" customWidth="1"/>
    <col min="9988" max="9988" width="9.88671875" style="194" customWidth="1"/>
    <col min="9989" max="9989" width="4.44140625" style="194" customWidth="1"/>
    <col min="9990" max="9992" width="13" style="194" customWidth="1"/>
    <col min="9993" max="9998" width="0.109375" style="194" customWidth="1"/>
    <col min="9999" max="9999" width="6.88671875" style="194" customWidth="1"/>
    <col min="10000" max="10240" width="8.88671875" style="194"/>
    <col min="10241" max="10241" width="31.6640625" style="194" customWidth="1"/>
    <col min="10242" max="10243" width="4.44140625" style="194" customWidth="1"/>
    <col min="10244" max="10244" width="9.88671875" style="194" customWidth="1"/>
    <col min="10245" max="10245" width="4.44140625" style="194" customWidth="1"/>
    <col min="10246" max="10248" width="13" style="194" customWidth="1"/>
    <col min="10249" max="10254" width="0.109375" style="194" customWidth="1"/>
    <col min="10255" max="10255" width="6.88671875" style="194" customWidth="1"/>
    <col min="10256" max="10496" width="8.88671875" style="194"/>
    <col min="10497" max="10497" width="31.6640625" style="194" customWidth="1"/>
    <col min="10498" max="10499" width="4.44140625" style="194" customWidth="1"/>
    <col min="10500" max="10500" width="9.88671875" style="194" customWidth="1"/>
    <col min="10501" max="10501" width="4.44140625" style="194" customWidth="1"/>
    <col min="10502" max="10504" width="13" style="194" customWidth="1"/>
    <col min="10505" max="10510" width="0.109375" style="194" customWidth="1"/>
    <col min="10511" max="10511" width="6.88671875" style="194" customWidth="1"/>
    <col min="10512" max="10752" width="8.88671875" style="194"/>
    <col min="10753" max="10753" width="31.6640625" style="194" customWidth="1"/>
    <col min="10754" max="10755" width="4.44140625" style="194" customWidth="1"/>
    <col min="10756" max="10756" width="9.88671875" style="194" customWidth="1"/>
    <col min="10757" max="10757" width="4.44140625" style="194" customWidth="1"/>
    <col min="10758" max="10760" width="13" style="194" customWidth="1"/>
    <col min="10761" max="10766" width="0.109375" style="194" customWidth="1"/>
    <col min="10767" max="10767" width="6.88671875" style="194" customWidth="1"/>
    <col min="10768" max="11008" width="8.88671875" style="194"/>
    <col min="11009" max="11009" width="31.6640625" style="194" customWidth="1"/>
    <col min="11010" max="11011" width="4.44140625" style="194" customWidth="1"/>
    <col min="11012" max="11012" width="9.88671875" style="194" customWidth="1"/>
    <col min="11013" max="11013" width="4.44140625" style="194" customWidth="1"/>
    <col min="11014" max="11016" width="13" style="194" customWidth="1"/>
    <col min="11017" max="11022" width="0.109375" style="194" customWidth="1"/>
    <col min="11023" max="11023" width="6.88671875" style="194" customWidth="1"/>
    <col min="11024" max="11264" width="8.88671875" style="194"/>
    <col min="11265" max="11265" width="31.6640625" style="194" customWidth="1"/>
    <col min="11266" max="11267" width="4.44140625" style="194" customWidth="1"/>
    <col min="11268" max="11268" width="9.88671875" style="194" customWidth="1"/>
    <col min="11269" max="11269" width="4.44140625" style="194" customWidth="1"/>
    <col min="11270" max="11272" width="13" style="194" customWidth="1"/>
    <col min="11273" max="11278" width="0.109375" style="194" customWidth="1"/>
    <col min="11279" max="11279" width="6.88671875" style="194" customWidth="1"/>
    <col min="11280" max="11520" width="8.88671875" style="194"/>
    <col min="11521" max="11521" width="31.6640625" style="194" customWidth="1"/>
    <col min="11522" max="11523" width="4.44140625" style="194" customWidth="1"/>
    <col min="11524" max="11524" width="9.88671875" style="194" customWidth="1"/>
    <col min="11525" max="11525" width="4.44140625" style="194" customWidth="1"/>
    <col min="11526" max="11528" width="13" style="194" customWidth="1"/>
    <col min="11529" max="11534" width="0.109375" style="194" customWidth="1"/>
    <col min="11535" max="11535" width="6.88671875" style="194" customWidth="1"/>
    <col min="11536" max="11776" width="8.88671875" style="194"/>
    <col min="11777" max="11777" width="31.6640625" style="194" customWidth="1"/>
    <col min="11778" max="11779" width="4.44140625" style="194" customWidth="1"/>
    <col min="11780" max="11780" width="9.88671875" style="194" customWidth="1"/>
    <col min="11781" max="11781" width="4.44140625" style="194" customWidth="1"/>
    <col min="11782" max="11784" width="13" style="194" customWidth="1"/>
    <col min="11785" max="11790" width="0.109375" style="194" customWidth="1"/>
    <col min="11791" max="11791" width="6.88671875" style="194" customWidth="1"/>
    <col min="11792" max="12032" width="8.88671875" style="194"/>
    <col min="12033" max="12033" width="31.6640625" style="194" customWidth="1"/>
    <col min="12034" max="12035" width="4.44140625" style="194" customWidth="1"/>
    <col min="12036" max="12036" width="9.88671875" style="194" customWidth="1"/>
    <col min="12037" max="12037" width="4.44140625" style="194" customWidth="1"/>
    <col min="12038" max="12040" width="13" style="194" customWidth="1"/>
    <col min="12041" max="12046" width="0.109375" style="194" customWidth="1"/>
    <col min="12047" max="12047" width="6.88671875" style="194" customWidth="1"/>
    <col min="12048" max="12288" width="8.88671875" style="194"/>
    <col min="12289" max="12289" width="31.6640625" style="194" customWidth="1"/>
    <col min="12290" max="12291" width="4.44140625" style="194" customWidth="1"/>
    <col min="12292" max="12292" width="9.88671875" style="194" customWidth="1"/>
    <col min="12293" max="12293" width="4.44140625" style="194" customWidth="1"/>
    <col min="12294" max="12296" width="13" style="194" customWidth="1"/>
    <col min="12297" max="12302" width="0.109375" style="194" customWidth="1"/>
    <col min="12303" max="12303" width="6.88671875" style="194" customWidth="1"/>
    <col min="12304" max="12544" width="8.88671875" style="194"/>
    <col min="12545" max="12545" width="31.6640625" style="194" customWidth="1"/>
    <col min="12546" max="12547" width="4.44140625" style="194" customWidth="1"/>
    <col min="12548" max="12548" width="9.88671875" style="194" customWidth="1"/>
    <col min="12549" max="12549" width="4.44140625" style="194" customWidth="1"/>
    <col min="12550" max="12552" width="13" style="194" customWidth="1"/>
    <col min="12553" max="12558" width="0.109375" style="194" customWidth="1"/>
    <col min="12559" max="12559" width="6.88671875" style="194" customWidth="1"/>
    <col min="12560" max="12800" width="8.88671875" style="194"/>
    <col min="12801" max="12801" width="31.6640625" style="194" customWidth="1"/>
    <col min="12802" max="12803" width="4.44140625" style="194" customWidth="1"/>
    <col min="12804" max="12804" width="9.88671875" style="194" customWidth="1"/>
    <col min="12805" max="12805" width="4.44140625" style="194" customWidth="1"/>
    <col min="12806" max="12808" width="13" style="194" customWidth="1"/>
    <col min="12809" max="12814" width="0.109375" style="194" customWidth="1"/>
    <col min="12815" max="12815" width="6.88671875" style="194" customWidth="1"/>
    <col min="12816" max="13056" width="8.88671875" style="194"/>
    <col min="13057" max="13057" width="31.6640625" style="194" customWidth="1"/>
    <col min="13058" max="13059" width="4.44140625" style="194" customWidth="1"/>
    <col min="13060" max="13060" width="9.88671875" style="194" customWidth="1"/>
    <col min="13061" max="13061" width="4.44140625" style="194" customWidth="1"/>
    <col min="13062" max="13064" width="13" style="194" customWidth="1"/>
    <col min="13065" max="13070" width="0.109375" style="194" customWidth="1"/>
    <col min="13071" max="13071" width="6.88671875" style="194" customWidth="1"/>
    <col min="13072" max="13312" width="8.88671875" style="194"/>
    <col min="13313" max="13313" width="31.6640625" style="194" customWidth="1"/>
    <col min="13314" max="13315" width="4.44140625" style="194" customWidth="1"/>
    <col min="13316" max="13316" width="9.88671875" style="194" customWidth="1"/>
    <col min="13317" max="13317" width="4.44140625" style="194" customWidth="1"/>
    <col min="13318" max="13320" width="13" style="194" customWidth="1"/>
    <col min="13321" max="13326" width="0.109375" style="194" customWidth="1"/>
    <col min="13327" max="13327" width="6.88671875" style="194" customWidth="1"/>
    <col min="13328" max="13568" width="8.88671875" style="194"/>
    <col min="13569" max="13569" width="31.6640625" style="194" customWidth="1"/>
    <col min="13570" max="13571" width="4.44140625" style="194" customWidth="1"/>
    <col min="13572" max="13572" width="9.88671875" style="194" customWidth="1"/>
    <col min="13573" max="13573" width="4.44140625" style="194" customWidth="1"/>
    <col min="13574" max="13576" width="13" style="194" customWidth="1"/>
    <col min="13577" max="13582" width="0.109375" style="194" customWidth="1"/>
    <col min="13583" max="13583" width="6.88671875" style="194" customWidth="1"/>
    <col min="13584" max="13824" width="8.88671875" style="194"/>
    <col min="13825" max="13825" width="31.6640625" style="194" customWidth="1"/>
    <col min="13826" max="13827" width="4.44140625" style="194" customWidth="1"/>
    <col min="13828" max="13828" width="9.88671875" style="194" customWidth="1"/>
    <col min="13829" max="13829" width="4.44140625" style="194" customWidth="1"/>
    <col min="13830" max="13832" width="13" style="194" customWidth="1"/>
    <col min="13833" max="13838" width="0.109375" style="194" customWidth="1"/>
    <col min="13839" max="13839" width="6.88671875" style="194" customWidth="1"/>
    <col min="13840" max="14080" width="8.88671875" style="194"/>
    <col min="14081" max="14081" width="31.6640625" style="194" customWidth="1"/>
    <col min="14082" max="14083" width="4.44140625" style="194" customWidth="1"/>
    <col min="14084" max="14084" width="9.88671875" style="194" customWidth="1"/>
    <col min="14085" max="14085" width="4.44140625" style="194" customWidth="1"/>
    <col min="14086" max="14088" width="13" style="194" customWidth="1"/>
    <col min="14089" max="14094" width="0.109375" style="194" customWidth="1"/>
    <col min="14095" max="14095" width="6.88671875" style="194" customWidth="1"/>
    <col min="14096" max="14336" width="8.88671875" style="194"/>
    <col min="14337" max="14337" width="31.6640625" style="194" customWidth="1"/>
    <col min="14338" max="14339" width="4.44140625" style="194" customWidth="1"/>
    <col min="14340" max="14340" width="9.88671875" style="194" customWidth="1"/>
    <col min="14341" max="14341" width="4.44140625" style="194" customWidth="1"/>
    <col min="14342" max="14344" width="13" style="194" customWidth="1"/>
    <col min="14345" max="14350" width="0.109375" style="194" customWidth="1"/>
    <col min="14351" max="14351" width="6.88671875" style="194" customWidth="1"/>
    <col min="14352" max="14592" width="8.88671875" style="194"/>
    <col min="14593" max="14593" width="31.6640625" style="194" customWidth="1"/>
    <col min="14594" max="14595" width="4.44140625" style="194" customWidth="1"/>
    <col min="14596" max="14596" width="9.88671875" style="194" customWidth="1"/>
    <col min="14597" max="14597" width="4.44140625" style="194" customWidth="1"/>
    <col min="14598" max="14600" width="13" style="194" customWidth="1"/>
    <col min="14601" max="14606" width="0.109375" style="194" customWidth="1"/>
    <col min="14607" max="14607" width="6.88671875" style="194" customWidth="1"/>
    <col min="14608" max="14848" width="8.88671875" style="194"/>
    <col min="14849" max="14849" width="31.6640625" style="194" customWidth="1"/>
    <col min="14850" max="14851" width="4.44140625" style="194" customWidth="1"/>
    <col min="14852" max="14852" width="9.88671875" style="194" customWidth="1"/>
    <col min="14853" max="14853" width="4.44140625" style="194" customWidth="1"/>
    <col min="14854" max="14856" width="13" style="194" customWidth="1"/>
    <col min="14857" max="14862" width="0.109375" style="194" customWidth="1"/>
    <col min="14863" max="14863" width="6.88671875" style="194" customWidth="1"/>
    <col min="14864" max="15104" width="8.88671875" style="194"/>
    <col min="15105" max="15105" width="31.6640625" style="194" customWidth="1"/>
    <col min="15106" max="15107" width="4.44140625" style="194" customWidth="1"/>
    <col min="15108" max="15108" width="9.88671875" style="194" customWidth="1"/>
    <col min="15109" max="15109" width="4.44140625" style="194" customWidth="1"/>
    <col min="15110" max="15112" width="13" style="194" customWidth="1"/>
    <col min="15113" max="15118" width="0.109375" style="194" customWidth="1"/>
    <col min="15119" max="15119" width="6.88671875" style="194" customWidth="1"/>
    <col min="15120" max="15360" width="8.88671875" style="194"/>
    <col min="15361" max="15361" width="31.6640625" style="194" customWidth="1"/>
    <col min="15362" max="15363" width="4.44140625" style="194" customWidth="1"/>
    <col min="15364" max="15364" width="9.88671875" style="194" customWidth="1"/>
    <col min="15365" max="15365" width="4.44140625" style="194" customWidth="1"/>
    <col min="15366" max="15368" width="13" style="194" customWidth="1"/>
    <col min="15369" max="15374" width="0.109375" style="194" customWidth="1"/>
    <col min="15375" max="15375" width="6.88671875" style="194" customWidth="1"/>
    <col min="15376" max="15616" width="8.88671875" style="194"/>
    <col min="15617" max="15617" width="31.6640625" style="194" customWidth="1"/>
    <col min="15618" max="15619" width="4.44140625" style="194" customWidth="1"/>
    <col min="15620" max="15620" width="9.88671875" style="194" customWidth="1"/>
    <col min="15621" max="15621" width="4.44140625" style="194" customWidth="1"/>
    <col min="15622" max="15624" width="13" style="194" customWidth="1"/>
    <col min="15625" max="15630" width="0.109375" style="194" customWidth="1"/>
    <col min="15631" max="15631" width="6.88671875" style="194" customWidth="1"/>
    <col min="15632" max="15872" width="8.88671875" style="194"/>
    <col min="15873" max="15873" width="31.6640625" style="194" customWidth="1"/>
    <col min="15874" max="15875" width="4.44140625" style="194" customWidth="1"/>
    <col min="15876" max="15876" width="9.88671875" style="194" customWidth="1"/>
    <col min="15877" max="15877" width="4.44140625" style="194" customWidth="1"/>
    <col min="15878" max="15880" width="13" style="194" customWidth="1"/>
    <col min="15881" max="15886" width="0.109375" style="194" customWidth="1"/>
    <col min="15887" max="15887" width="6.88671875" style="194" customWidth="1"/>
    <col min="15888" max="16128" width="8.88671875" style="194"/>
    <col min="16129" max="16129" width="31.6640625" style="194" customWidth="1"/>
    <col min="16130" max="16131" width="4.44140625" style="194" customWidth="1"/>
    <col min="16132" max="16132" width="9.88671875" style="194" customWidth="1"/>
    <col min="16133" max="16133" width="4.44140625" style="194" customWidth="1"/>
    <col min="16134" max="16136" width="13" style="194" customWidth="1"/>
    <col min="16137" max="16142" width="0.109375" style="194" customWidth="1"/>
    <col min="16143" max="16143" width="6.88671875" style="194" customWidth="1"/>
    <col min="16144" max="16384" width="8.88671875" style="194"/>
  </cols>
  <sheetData>
    <row r="1" spans="1:15" ht="126" customHeight="1">
      <c r="A1" s="371" t="s">
        <v>1386</v>
      </c>
      <c r="B1" s="371"/>
      <c r="C1" s="371"/>
      <c r="D1" s="371"/>
      <c r="E1" s="371"/>
      <c r="F1" s="371"/>
      <c r="G1" s="371"/>
      <c r="H1" s="371"/>
      <c r="I1" s="193"/>
      <c r="J1" s="193"/>
      <c r="K1" s="193"/>
      <c r="L1" s="193"/>
      <c r="M1" s="193"/>
      <c r="N1" s="193"/>
      <c r="O1" s="193"/>
    </row>
    <row r="2" spans="1:15" ht="107.25" customHeight="1">
      <c r="A2" s="371" t="s">
        <v>1244</v>
      </c>
      <c r="B2" s="371"/>
      <c r="C2" s="371"/>
      <c r="D2" s="371"/>
      <c r="E2" s="371"/>
      <c r="F2" s="371"/>
      <c r="G2" s="371"/>
      <c r="H2" s="371"/>
      <c r="I2" s="118"/>
      <c r="J2" s="118"/>
      <c r="K2" s="118"/>
      <c r="L2" s="118"/>
      <c r="M2" s="118"/>
      <c r="N2" s="118"/>
      <c r="O2" s="118"/>
    </row>
    <row r="3" spans="1:15" ht="93" customHeight="1">
      <c r="A3" s="331" t="s">
        <v>1157</v>
      </c>
      <c r="B3" s="331"/>
      <c r="C3" s="331"/>
      <c r="D3" s="331"/>
      <c r="E3" s="331"/>
      <c r="F3" s="331"/>
      <c r="G3" s="331"/>
      <c r="H3" s="331"/>
      <c r="I3" s="118"/>
      <c r="J3" s="118"/>
      <c r="K3" s="118"/>
      <c r="L3" s="118"/>
      <c r="M3" s="118"/>
      <c r="N3" s="118"/>
      <c r="O3" s="118"/>
    </row>
    <row r="4" spans="1:15">
      <c r="A4" s="332"/>
      <c r="B4" s="333"/>
      <c r="C4" s="333"/>
      <c r="D4" s="333"/>
      <c r="E4" s="333"/>
      <c r="F4" s="333"/>
      <c r="G4" s="333"/>
      <c r="H4" s="333"/>
      <c r="I4" s="205"/>
      <c r="J4" s="205"/>
      <c r="K4" s="205"/>
      <c r="L4" s="205"/>
      <c r="M4" s="205"/>
      <c r="N4" s="205"/>
      <c r="O4" s="205"/>
    </row>
    <row r="5" spans="1:15" ht="12.75" customHeight="1">
      <c r="A5" s="334" t="s">
        <v>745</v>
      </c>
      <c r="B5" s="335"/>
      <c r="C5" s="335"/>
      <c r="D5" s="335"/>
      <c r="E5" s="335"/>
      <c r="F5" s="335"/>
      <c r="G5" s="335"/>
      <c r="H5" s="335"/>
      <c r="I5" s="206"/>
      <c r="J5" s="206"/>
      <c r="K5" s="206"/>
      <c r="L5" s="206"/>
      <c r="M5" s="206"/>
      <c r="N5" s="206"/>
      <c r="O5" s="206"/>
    </row>
    <row r="6" spans="1:15" ht="15.2" customHeight="1">
      <c r="A6" s="336" t="s">
        <v>38</v>
      </c>
      <c r="B6" s="336" t="s">
        <v>865</v>
      </c>
      <c r="C6" s="336" t="s">
        <v>866</v>
      </c>
      <c r="D6" s="336" t="s">
        <v>746</v>
      </c>
      <c r="E6" s="336" t="s">
        <v>747</v>
      </c>
      <c r="F6" s="336" t="s">
        <v>926</v>
      </c>
      <c r="G6" s="336" t="s">
        <v>927</v>
      </c>
      <c r="H6" s="336" t="s">
        <v>1158</v>
      </c>
      <c r="I6" s="195"/>
      <c r="J6" s="193"/>
      <c r="K6" s="193"/>
      <c r="L6" s="193"/>
      <c r="M6" s="193"/>
      <c r="N6" s="193"/>
      <c r="O6" s="193"/>
    </row>
    <row r="7" spans="1:15" ht="35.25" customHeight="1">
      <c r="A7" s="337"/>
      <c r="B7" s="337"/>
      <c r="C7" s="337"/>
      <c r="D7" s="337"/>
      <c r="E7" s="337"/>
      <c r="F7" s="337"/>
      <c r="G7" s="337"/>
      <c r="H7" s="337"/>
      <c r="I7" s="195"/>
      <c r="J7" s="193"/>
      <c r="K7" s="193"/>
      <c r="L7" s="193"/>
      <c r="M7" s="193"/>
      <c r="N7" s="193"/>
      <c r="O7" s="193"/>
    </row>
    <row r="8" spans="1:15" ht="12.75" customHeight="1">
      <c r="A8" s="196">
        <v>1</v>
      </c>
      <c r="B8" s="196">
        <v>2</v>
      </c>
      <c r="C8" s="196">
        <v>3</v>
      </c>
      <c r="D8" s="196">
        <v>4</v>
      </c>
      <c r="E8" s="196">
        <v>5</v>
      </c>
      <c r="F8" s="196">
        <v>6</v>
      </c>
      <c r="G8" s="196">
        <v>7</v>
      </c>
      <c r="H8" s="196">
        <v>8</v>
      </c>
      <c r="I8" s="195"/>
      <c r="J8" s="193"/>
      <c r="K8" s="193"/>
      <c r="L8" s="193"/>
      <c r="M8" s="193"/>
      <c r="N8" s="193"/>
      <c r="O8" s="193"/>
    </row>
    <row r="9" spans="1:15" ht="47.25">
      <c r="A9" s="372" t="s">
        <v>429</v>
      </c>
      <c r="B9" s="373"/>
      <c r="C9" s="373"/>
      <c r="D9" s="372" t="s">
        <v>303</v>
      </c>
      <c r="E9" s="373"/>
      <c r="F9" s="197">
        <v>804151.65001999994</v>
      </c>
      <c r="G9" s="197">
        <v>778461.42590999999</v>
      </c>
      <c r="H9" s="197">
        <v>793062.31391000003</v>
      </c>
    </row>
    <row r="10" spans="1:15" ht="63">
      <c r="A10" s="372" t="s">
        <v>543</v>
      </c>
      <c r="B10" s="373"/>
      <c r="C10" s="373"/>
      <c r="D10" s="372" t="s">
        <v>308</v>
      </c>
      <c r="E10" s="373"/>
      <c r="F10" s="197">
        <v>366203.25665</v>
      </c>
      <c r="G10" s="197">
        <v>371157.14539999998</v>
      </c>
      <c r="H10" s="197">
        <v>378308.91775000002</v>
      </c>
    </row>
    <row r="11" spans="1:15" ht="47.25">
      <c r="A11" s="372" t="s">
        <v>544</v>
      </c>
      <c r="B11" s="373"/>
      <c r="C11" s="373"/>
      <c r="D11" s="372" t="s">
        <v>309</v>
      </c>
      <c r="E11" s="373"/>
      <c r="F11" s="197">
        <v>366203.25665</v>
      </c>
      <c r="G11" s="197">
        <v>371157.14539999998</v>
      </c>
      <c r="H11" s="197">
        <v>378308.91775000002</v>
      </c>
    </row>
    <row r="12" spans="1:15">
      <c r="A12" s="372" t="s">
        <v>545</v>
      </c>
      <c r="B12" s="372" t="s">
        <v>197</v>
      </c>
      <c r="C12" s="372" t="s">
        <v>200</v>
      </c>
      <c r="D12" s="372" t="s">
        <v>309</v>
      </c>
      <c r="E12" s="373"/>
      <c r="F12" s="197">
        <v>366203.25665</v>
      </c>
      <c r="G12" s="197">
        <v>371157.14539999998</v>
      </c>
      <c r="H12" s="197">
        <v>378308.91775000002</v>
      </c>
    </row>
    <row r="13" spans="1:15" ht="47.25">
      <c r="A13" s="372" t="s">
        <v>867</v>
      </c>
      <c r="B13" s="372" t="s">
        <v>197</v>
      </c>
      <c r="C13" s="372" t="s">
        <v>200</v>
      </c>
      <c r="D13" s="372" t="s">
        <v>868</v>
      </c>
      <c r="E13" s="373"/>
      <c r="F13" s="197">
        <v>56061.570809999997</v>
      </c>
      <c r="G13" s="197">
        <v>55532.717649999999</v>
      </c>
      <c r="H13" s="197">
        <v>51532.716999999997</v>
      </c>
    </row>
    <row r="14" spans="1:15" ht="47.25">
      <c r="A14" s="372" t="s">
        <v>547</v>
      </c>
      <c r="B14" s="372" t="s">
        <v>197</v>
      </c>
      <c r="C14" s="372" t="s">
        <v>200</v>
      </c>
      <c r="D14" s="372" t="s">
        <v>868</v>
      </c>
      <c r="E14" s="372" t="s">
        <v>268</v>
      </c>
      <c r="F14" s="197">
        <v>56061.570809999997</v>
      </c>
      <c r="G14" s="197">
        <v>55532.717649999999</v>
      </c>
      <c r="H14" s="197">
        <v>51532.716999999997</v>
      </c>
    </row>
    <row r="15" spans="1:15" ht="63">
      <c r="A15" s="372" t="s">
        <v>546</v>
      </c>
      <c r="B15" s="372" t="s">
        <v>197</v>
      </c>
      <c r="C15" s="372" t="s">
        <v>200</v>
      </c>
      <c r="D15" s="372" t="s">
        <v>310</v>
      </c>
      <c r="E15" s="373"/>
      <c r="F15" s="197">
        <v>81869.497839999996</v>
      </c>
      <c r="G15" s="197">
        <v>79878.279750000002</v>
      </c>
      <c r="H15" s="197">
        <v>79878.279750000002</v>
      </c>
    </row>
    <row r="16" spans="1:15" ht="47.25">
      <c r="A16" s="372" t="s">
        <v>547</v>
      </c>
      <c r="B16" s="372" t="s">
        <v>197</v>
      </c>
      <c r="C16" s="372" t="s">
        <v>200</v>
      </c>
      <c r="D16" s="372" t="s">
        <v>310</v>
      </c>
      <c r="E16" s="372" t="s">
        <v>268</v>
      </c>
      <c r="F16" s="197">
        <v>81869.497839999996</v>
      </c>
      <c r="G16" s="197">
        <v>79878.279750000002</v>
      </c>
      <c r="H16" s="197">
        <v>79878.279750000002</v>
      </c>
    </row>
    <row r="17" spans="1:8" ht="47.25">
      <c r="A17" s="372" t="s">
        <v>869</v>
      </c>
      <c r="B17" s="372" t="s">
        <v>197</v>
      </c>
      <c r="C17" s="372" t="s">
        <v>200</v>
      </c>
      <c r="D17" s="372" t="s">
        <v>870</v>
      </c>
      <c r="E17" s="373"/>
      <c r="F17" s="197">
        <v>1053.3119999999999</v>
      </c>
      <c r="G17" s="197">
        <v>1053.3119999999999</v>
      </c>
      <c r="H17" s="197">
        <v>1053.3119999999999</v>
      </c>
    </row>
    <row r="18" spans="1:8" ht="47.25">
      <c r="A18" s="372" t="s">
        <v>547</v>
      </c>
      <c r="B18" s="372" t="s">
        <v>197</v>
      </c>
      <c r="C18" s="372" t="s">
        <v>200</v>
      </c>
      <c r="D18" s="372" t="s">
        <v>870</v>
      </c>
      <c r="E18" s="372" t="s">
        <v>268</v>
      </c>
      <c r="F18" s="197">
        <v>1053.3119999999999</v>
      </c>
      <c r="G18" s="197">
        <v>1053.3119999999999</v>
      </c>
      <c r="H18" s="197">
        <v>1053.3119999999999</v>
      </c>
    </row>
    <row r="19" spans="1:8" ht="204.75">
      <c r="A19" s="372" t="s">
        <v>548</v>
      </c>
      <c r="B19" s="372" t="s">
        <v>197</v>
      </c>
      <c r="C19" s="372" t="s">
        <v>200</v>
      </c>
      <c r="D19" s="372" t="s">
        <v>311</v>
      </c>
      <c r="E19" s="373"/>
      <c r="F19" s="197">
        <v>2188.29</v>
      </c>
      <c r="G19" s="197">
        <v>2188.29</v>
      </c>
      <c r="H19" s="197">
        <v>2188.29</v>
      </c>
    </row>
    <row r="20" spans="1:8" ht="47.25">
      <c r="A20" s="372" t="s">
        <v>547</v>
      </c>
      <c r="B20" s="372" t="s">
        <v>197</v>
      </c>
      <c r="C20" s="372" t="s">
        <v>200</v>
      </c>
      <c r="D20" s="372" t="s">
        <v>311</v>
      </c>
      <c r="E20" s="372" t="s">
        <v>268</v>
      </c>
      <c r="F20" s="197">
        <v>2188.29</v>
      </c>
      <c r="G20" s="197">
        <v>2188.29</v>
      </c>
      <c r="H20" s="197">
        <v>2188.29</v>
      </c>
    </row>
    <row r="21" spans="1:8" ht="252">
      <c r="A21" s="372" t="s">
        <v>894</v>
      </c>
      <c r="B21" s="372" t="s">
        <v>197</v>
      </c>
      <c r="C21" s="372" t="s">
        <v>200</v>
      </c>
      <c r="D21" s="372" t="s">
        <v>312</v>
      </c>
      <c r="E21" s="373"/>
      <c r="F21" s="197">
        <v>225030.58600000001</v>
      </c>
      <c r="G21" s="197">
        <v>232504.546</v>
      </c>
      <c r="H21" s="197">
        <v>243656.31899999999</v>
      </c>
    </row>
    <row r="22" spans="1:8" ht="47.25">
      <c r="A22" s="372" t="s">
        <v>547</v>
      </c>
      <c r="B22" s="372" t="s">
        <v>197</v>
      </c>
      <c r="C22" s="372" t="s">
        <v>200</v>
      </c>
      <c r="D22" s="372" t="s">
        <v>312</v>
      </c>
      <c r="E22" s="372" t="s">
        <v>268</v>
      </c>
      <c r="F22" s="197">
        <v>225030.58600000001</v>
      </c>
      <c r="G22" s="197">
        <v>232504.546</v>
      </c>
      <c r="H22" s="197">
        <v>243656.31899999999</v>
      </c>
    </row>
    <row r="23" spans="1:8" ht="47.25">
      <c r="A23" s="372" t="s">
        <v>553</v>
      </c>
      <c r="B23" s="373"/>
      <c r="C23" s="373"/>
      <c r="D23" s="372" t="s">
        <v>422</v>
      </c>
      <c r="E23" s="373"/>
      <c r="F23" s="197">
        <v>280622.89594000002</v>
      </c>
      <c r="G23" s="197">
        <v>287508.647</v>
      </c>
      <c r="H23" s="197">
        <v>294957.76199999999</v>
      </c>
    </row>
    <row r="24" spans="1:8" ht="63">
      <c r="A24" s="372" t="s">
        <v>554</v>
      </c>
      <c r="B24" s="373"/>
      <c r="C24" s="373"/>
      <c r="D24" s="372" t="s">
        <v>304</v>
      </c>
      <c r="E24" s="373"/>
      <c r="F24" s="197">
        <v>280622.89594000002</v>
      </c>
      <c r="G24" s="197">
        <v>287508.647</v>
      </c>
      <c r="H24" s="197">
        <v>294957.76199999999</v>
      </c>
    </row>
    <row r="25" spans="1:8">
      <c r="A25" s="372" t="s">
        <v>555</v>
      </c>
      <c r="B25" s="372" t="s">
        <v>197</v>
      </c>
      <c r="C25" s="372" t="s">
        <v>198</v>
      </c>
      <c r="D25" s="372" t="s">
        <v>304</v>
      </c>
      <c r="E25" s="373"/>
      <c r="F25" s="197">
        <v>280622.89594000002</v>
      </c>
      <c r="G25" s="197">
        <v>287508.647</v>
      </c>
      <c r="H25" s="197">
        <v>294957.76199999999</v>
      </c>
    </row>
    <row r="26" spans="1:8" ht="47.25">
      <c r="A26" s="372" t="s">
        <v>867</v>
      </c>
      <c r="B26" s="372" t="s">
        <v>197</v>
      </c>
      <c r="C26" s="372" t="s">
        <v>198</v>
      </c>
      <c r="D26" s="372" t="s">
        <v>871</v>
      </c>
      <c r="E26" s="373"/>
      <c r="F26" s="197">
        <v>55717.337</v>
      </c>
      <c r="G26" s="197">
        <v>56431.614999999998</v>
      </c>
      <c r="H26" s="197">
        <v>53431.614999999998</v>
      </c>
    </row>
    <row r="27" spans="1:8" ht="47.25">
      <c r="A27" s="372" t="s">
        <v>547</v>
      </c>
      <c r="B27" s="372" t="s">
        <v>197</v>
      </c>
      <c r="C27" s="372" t="s">
        <v>198</v>
      </c>
      <c r="D27" s="372" t="s">
        <v>871</v>
      </c>
      <c r="E27" s="372" t="s">
        <v>268</v>
      </c>
      <c r="F27" s="197">
        <v>55717.337</v>
      </c>
      <c r="G27" s="197">
        <v>56431.614999999998</v>
      </c>
      <c r="H27" s="197">
        <v>53431.614999999998</v>
      </c>
    </row>
    <row r="28" spans="1:8" ht="63">
      <c r="A28" s="372" t="s">
        <v>557</v>
      </c>
      <c r="B28" s="372" t="s">
        <v>197</v>
      </c>
      <c r="C28" s="372" t="s">
        <v>198</v>
      </c>
      <c r="D28" s="372" t="s">
        <v>305</v>
      </c>
      <c r="E28" s="373"/>
      <c r="F28" s="197">
        <v>14466.35144</v>
      </c>
      <c r="G28" s="197">
        <v>13992.300999999999</v>
      </c>
      <c r="H28" s="197">
        <v>13992.300999999999</v>
      </c>
    </row>
    <row r="29" spans="1:8" ht="47.25">
      <c r="A29" s="372" t="s">
        <v>547</v>
      </c>
      <c r="B29" s="372" t="s">
        <v>197</v>
      </c>
      <c r="C29" s="372" t="s">
        <v>198</v>
      </c>
      <c r="D29" s="372" t="s">
        <v>305</v>
      </c>
      <c r="E29" s="372" t="s">
        <v>268</v>
      </c>
      <c r="F29" s="197">
        <v>14466.35144</v>
      </c>
      <c r="G29" s="197">
        <v>13992.300999999999</v>
      </c>
      <c r="H29" s="197">
        <v>13992.300999999999</v>
      </c>
    </row>
    <row r="30" spans="1:8" ht="252">
      <c r="A30" s="372" t="s">
        <v>895</v>
      </c>
      <c r="B30" s="372" t="s">
        <v>197</v>
      </c>
      <c r="C30" s="372" t="s">
        <v>198</v>
      </c>
      <c r="D30" s="372" t="s">
        <v>306</v>
      </c>
      <c r="E30" s="373"/>
      <c r="F30" s="197">
        <v>208121.53400000001</v>
      </c>
      <c r="G30" s="197">
        <v>214694.446</v>
      </c>
      <c r="H30" s="197">
        <v>225028.48499999999</v>
      </c>
    </row>
    <row r="31" spans="1:8" ht="47.25">
      <c r="A31" s="372" t="s">
        <v>547</v>
      </c>
      <c r="B31" s="372" t="s">
        <v>197</v>
      </c>
      <c r="C31" s="372" t="s">
        <v>198</v>
      </c>
      <c r="D31" s="372" t="s">
        <v>306</v>
      </c>
      <c r="E31" s="372" t="s">
        <v>268</v>
      </c>
      <c r="F31" s="197">
        <v>208121.53400000001</v>
      </c>
      <c r="G31" s="197">
        <v>214694.446</v>
      </c>
      <c r="H31" s="197">
        <v>225028.48499999999</v>
      </c>
    </row>
    <row r="32" spans="1:8" ht="236.25">
      <c r="A32" s="372" t="s">
        <v>559</v>
      </c>
      <c r="B32" s="372" t="s">
        <v>197</v>
      </c>
      <c r="C32" s="372" t="s">
        <v>198</v>
      </c>
      <c r="D32" s="372" t="s">
        <v>307</v>
      </c>
      <c r="E32" s="373"/>
      <c r="F32" s="197">
        <v>2317.6734999999999</v>
      </c>
      <c r="G32" s="197">
        <v>2390.2849999999999</v>
      </c>
      <c r="H32" s="197">
        <v>2505.3609999999999</v>
      </c>
    </row>
    <row r="33" spans="1:8" ht="47.25">
      <c r="A33" s="372" t="s">
        <v>547</v>
      </c>
      <c r="B33" s="372" t="s">
        <v>197</v>
      </c>
      <c r="C33" s="372" t="s">
        <v>198</v>
      </c>
      <c r="D33" s="372" t="s">
        <v>307</v>
      </c>
      <c r="E33" s="372" t="s">
        <v>268</v>
      </c>
      <c r="F33" s="197">
        <v>2317.6734999999999</v>
      </c>
      <c r="G33" s="197">
        <v>2390.2849999999999</v>
      </c>
      <c r="H33" s="197">
        <v>2505.3609999999999</v>
      </c>
    </row>
    <row r="34" spans="1:8" ht="63">
      <c r="A34" s="372" t="s">
        <v>561</v>
      </c>
      <c r="B34" s="373"/>
      <c r="C34" s="373"/>
      <c r="D34" s="372" t="s">
        <v>313</v>
      </c>
      <c r="E34" s="373"/>
      <c r="F34" s="197">
        <v>98229.642009999996</v>
      </c>
      <c r="G34" s="197">
        <v>88104.987850000005</v>
      </c>
      <c r="H34" s="197">
        <v>88104.987850000005</v>
      </c>
    </row>
    <row r="35" spans="1:8" ht="63">
      <c r="A35" s="372" t="s">
        <v>951</v>
      </c>
      <c r="B35" s="373"/>
      <c r="C35" s="373"/>
      <c r="D35" s="372" t="s">
        <v>314</v>
      </c>
      <c r="E35" s="373"/>
      <c r="F35" s="197">
        <v>87791.697629999995</v>
      </c>
      <c r="G35" s="197">
        <v>88104.987850000005</v>
      </c>
      <c r="H35" s="197">
        <v>88104.987850000005</v>
      </c>
    </row>
    <row r="36" spans="1:8">
      <c r="A36" s="372" t="s">
        <v>562</v>
      </c>
      <c r="B36" s="372" t="s">
        <v>197</v>
      </c>
      <c r="C36" s="372" t="s">
        <v>202</v>
      </c>
      <c r="D36" s="372" t="s">
        <v>314</v>
      </c>
      <c r="E36" s="373"/>
      <c r="F36" s="197">
        <v>87791.697629999995</v>
      </c>
      <c r="G36" s="197">
        <v>88104.987850000005</v>
      </c>
      <c r="H36" s="197">
        <v>88104.987850000005</v>
      </c>
    </row>
    <row r="37" spans="1:8" ht="47.25">
      <c r="A37" s="372" t="s">
        <v>867</v>
      </c>
      <c r="B37" s="372" t="s">
        <v>197</v>
      </c>
      <c r="C37" s="372" t="s">
        <v>202</v>
      </c>
      <c r="D37" s="372" t="s">
        <v>872</v>
      </c>
      <c r="E37" s="373"/>
      <c r="F37" s="197">
        <v>9034.5540000000001</v>
      </c>
      <c r="G37" s="197">
        <v>9133.232</v>
      </c>
      <c r="H37" s="197">
        <v>9133.232</v>
      </c>
    </row>
    <row r="38" spans="1:8" ht="47.25">
      <c r="A38" s="372" t="s">
        <v>547</v>
      </c>
      <c r="B38" s="372" t="s">
        <v>197</v>
      </c>
      <c r="C38" s="372" t="s">
        <v>202</v>
      </c>
      <c r="D38" s="372" t="s">
        <v>872</v>
      </c>
      <c r="E38" s="372" t="s">
        <v>268</v>
      </c>
      <c r="F38" s="197">
        <v>9034.5540000000001</v>
      </c>
      <c r="G38" s="197">
        <v>9133.232</v>
      </c>
      <c r="H38" s="197">
        <v>9133.232</v>
      </c>
    </row>
    <row r="39" spans="1:8" ht="63">
      <c r="A39" s="372" t="s">
        <v>563</v>
      </c>
      <c r="B39" s="372" t="s">
        <v>197</v>
      </c>
      <c r="C39" s="372" t="s">
        <v>202</v>
      </c>
      <c r="D39" s="372" t="s">
        <v>315</v>
      </c>
      <c r="E39" s="373"/>
      <c r="F39" s="197">
        <v>17162.161629999999</v>
      </c>
      <c r="G39" s="197">
        <v>15383.896849999999</v>
      </c>
      <c r="H39" s="197">
        <v>15383.896849999999</v>
      </c>
    </row>
    <row r="40" spans="1:8" ht="47.25">
      <c r="A40" s="372" t="s">
        <v>547</v>
      </c>
      <c r="B40" s="372" t="s">
        <v>197</v>
      </c>
      <c r="C40" s="372" t="s">
        <v>202</v>
      </c>
      <c r="D40" s="372" t="s">
        <v>315</v>
      </c>
      <c r="E40" s="372" t="s">
        <v>268</v>
      </c>
      <c r="F40" s="197">
        <v>17162.161629999999</v>
      </c>
      <c r="G40" s="197">
        <v>15383.896849999999</v>
      </c>
      <c r="H40" s="197">
        <v>15383.896849999999</v>
      </c>
    </row>
    <row r="41" spans="1:8" ht="78.75">
      <c r="A41" s="372" t="s">
        <v>564</v>
      </c>
      <c r="B41" s="372" t="s">
        <v>197</v>
      </c>
      <c r="C41" s="372" t="s">
        <v>202</v>
      </c>
      <c r="D41" s="372" t="s">
        <v>952</v>
      </c>
      <c r="E41" s="373"/>
      <c r="F41" s="197">
        <v>33231.151400000002</v>
      </c>
      <c r="G41" s="197">
        <v>32917.432000000001</v>
      </c>
      <c r="H41" s="197">
        <v>32917.432000000001</v>
      </c>
    </row>
    <row r="42" spans="1:8" ht="47.25">
      <c r="A42" s="372" t="s">
        <v>547</v>
      </c>
      <c r="B42" s="372" t="s">
        <v>197</v>
      </c>
      <c r="C42" s="372" t="s">
        <v>202</v>
      </c>
      <c r="D42" s="372" t="s">
        <v>952</v>
      </c>
      <c r="E42" s="372" t="s">
        <v>268</v>
      </c>
      <c r="F42" s="197">
        <v>33231.151400000002</v>
      </c>
      <c r="G42" s="197">
        <v>32917.432000000001</v>
      </c>
      <c r="H42" s="197">
        <v>32917.432000000001</v>
      </c>
    </row>
    <row r="43" spans="1:8" ht="78.75">
      <c r="A43" s="372" t="s">
        <v>565</v>
      </c>
      <c r="B43" s="372" t="s">
        <v>197</v>
      </c>
      <c r="C43" s="372" t="s">
        <v>202</v>
      </c>
      <c r="D43" s="372" t="s">
        <v>953</v>
      </c>
      <c r="E43" s="373"/>
      <c r="F43" s="197">
        <v>28045.830600000001</v>
      </c>
      <c r="G43" s="197">
        <v>30670.427</v>
      </c>
      <c r="H43" s="197">
        <v>30670.427</v>
      </c>
    </row>
    <row r="44" spans="1:8" ht="47.25">
      <c r="A44" s="372" t="s">
        <v>547</v>
      </c>
      <c r="B44" s="372" t="s">
        <v>197</v>
      </c>
      <c r="C44" s="372" t="s">
        <v>202</v>
      </c>
      <c r="D44" s="372" t="s">
        <v>953</v>
      </c>
      <c r="E44" s="372" t="s">
        <v>268</v>
      </c>
      <c r="F44" s="197">
        <v>28045.830600000001</v>
      </c>
      <c r="G44" s="197">
        <v>30670.427</v>
      </c>
      <c r="H44" s="197">
        <v>30670.427</v>
      </c>
    </row>
    <row r="45" spans="1:8" ht="47.25">
      <c r="A45" s="372" t="s">
        <v>1192</v>
      </c>
      <c r="B45" s="372" t="s">
        <v>197</v>
      </c>
      <c r="C45" s="372" t="s">
        <v>202</v>
      </c>
      <c r="D45" s="372" t="s">
        <v>1193</v>
      </c>
      <c r="E45" s="373"/>
      <c r="F45" s="197">
        <v>318</v>
      </c>
      <c r="G45" s="197">
        <v>0</v>
      </c>
      <c r="H45" s="197">
        <v>0</v>
      </c>
    </row>
    <row r="46" spans="1:8" ht="47.25">
      <c r="A46" s="372" t="s">
        <v>547</v>
      </c>
      <c r="B46" s="372" t="s">
        <v>197</v>
      </c>
      <c r="C46" s="372" t="s">
        <v>202</v>
      </c>
      <c r="D46" s="372" t="s">
        <v>1193</v>
      </c>
      <c r="E46" s="372" t="s">
        <v>268</v>
      </c>
      <c r="F46" s="197">
        <v>318</v>
      </c>
      <c r="G46" s="197">
        <v>0</v>
      </c>
      <c r="H46" s="197">
        <v>0</v>
      </c>
    </row>
    <row r="47" spans="1:8" ht="78.75">
      <c r="A47" s="372" t="s">
        <v>954</v>
      </c>
      <c r="B47" s="373"/>
      <c r="C47" s="373"/>
      <c r="D47" s="372" t="s">
        <v>316</v>
      </c>
      <c r="E47" s="373"/>
      <c r="F47" s="197">
        <v>10437.944380000001</v>
      </c>
      <c r="G47" s="197">
        <v>0</v>
      </c>
      <c r="H47" s="197">
        <v>0</v>
      </c>
    </row>
    <row r="48" spans="1:8">
      <c r="A48" s="372" t="s">
        <v>562</v>
      </c>
      <c r="B48" s="372" t="s">
        <v>197</v>
      </c>
      <c r="C48" s="372" t="s">
        <v>202</v>
      </c>
      <c r="D48" s="372" t="s">
        <v>316</v>
      </c>
      <c r="E48" s="373"/>
      <c r="F48" s="197">
        <v>10437.944380000001</v>
      </c>
      <c r="G48" s="197">
        <v>0</v>
      </c>
      <c r="H48" s="197">
        <v>0</v>
      </c>
    </row>
    <row r="49" spans="1:8" ht="110.25">
      <c r="A49" s="372" t="s">
        <v>955</v>
      </c>
      <c r="B49" s="372" t="s">
        <v>197</v>
      </c>
      <c r="C49" s="372" t="s">
        <v>202</v>
      </c>
      <c r="D49" s="372" t="s">
        <v>956</v>
      </c>
      <c r="E49" s="373"/>
      <c r="F49" s="197">
        <v>788.91638</v>
      </c>
      <c r="G49" s="197">
        <v>0</v>
      </c>
      <c r="H49" s="197">
        <v>0</v>
      </c>
    </row>
    <row r="50" spans="1:8" ht="47.25">
      <c r="A50" s="372" t="s">
        <v>547</v>
      </c>
      <c r="B50" s="372" t="s">
        <v>197</v>
      </c>
      <c r="C50" s="372" t="s">
        <v>202</v>
      </c>
      <c r="D50" s="372" t="s">
        <v>956</v>
      </c>
      <c r="E50" s="372" t="s">
        <v>268</v>
      </c>
      <c r="F50" s="197">
        <v>788.91638</v>
      </c>
      <c r="G50" s="197">
        <v>0</v>
      </c>
      <c r="H50" s="197">
        <v>0</v>
      </c>
    </row>
    <row r="51" spans="1:8" ht="126">
      <c r="A51" s="372" t="s">
        <v>725</v>
      </c>
      <c r="B51" s="372" t="s">
        <v>197</v>
      </c>
      <c r="C51" s="372" t="s">
        <v>202</v>
      </c>
      <c r="D51" s="372" t="s">
        <v>957</v>
      </c>
      <c r="E51" s="373"/>
      <c r="F51" s="197">
        <v>6472.8159999999998</v>
      </c>
      <c r="G51" s="197">
        <v>0</v>
      </c>
      <c r="H51" s="197">
        <v>0</v>
      </c>
    </row>
    <row r="52" spans="1:8" ht="47.25">
      <c r="A52" s="372" t="s">
        <v>547</v>
      </c>
      <c r="B52" s="372" t="s">
        <v>197</v>
      </c>
      <c r="C52" s="372" t="s">
        <v>202</v>
      </c>
      <c r="D52" s="372" t="s">
        <v>957</v>
      </c>
      <c r="E52" s="372" t="s">
        <v>268</v>
      </c>
      <c r="F52" s="197">
        <v>6472.8159999999998</v>
      </c>
      <c r="G52" s="197">
        <v>0</v>
      </c>
      <c r="H52" s="197">
        <v>0</v>
      </c>
    </row>
    <row r="53" spans="1:8" ht="126">
      <c r="A53" s="372" t="s">
        <v>848</v>
      </c>
      <c r="B53" s="372" t="s">
        <v>197</v>
      </c>
      <c r="C53" s="372" t="s">
        <v>202</v>
      </c>
      <c r="D53" s="372" t="s">
        <v>958</v>
      </c>
      <c r="E53" s="373"/>
      <c r="F53" s="197">
        <v>3176.212</v>
      </c>
      <c r="G53" s="197">
        <v>0</v>
      </c>
      <c r="H53" s="197">
        <v>0</v>
      </c>
    </row>
    <row r="54" spans="1:8" ht="47.25">
      <c r="A54" s="372" t="s">
        <v>547</v>
      </c>
      <c r="B54" s="372" t="s">
        <v>197</v>
      </c>
      <c r="C54" s="372" t="s">
        <v>202</v>
      </c>
      <c r="D54" s="372" t="s">
        <v>958</v>
      </c>
      <c r="E54" s="372" t="s">
        <v>268</v>
      </c>
      <c r="F54" s="197">
        <v>3176.212</v>
      </c>
      <c r="G54" s="197">
        <v>0</v>
      </c>
      <c r="H54" s="197">
        <v>0</v>
      </c>
    </row>
    <row r="55" spans="1:8" ht="94.5">
      <c r="A55" s="372" t="s">
        <v>959</v>
      </c>
      <c r="B55" s="373"/>
      <c r="C55" s="373"/>
      <c r="D55" s="372" t="s">
        <v>317</v>
      </c>
      <c r="E55" s="373"/>
      <c r="F55" s="197">
        <v>22660.348999999998</v>
      </c>
      <c r="G55" s="197">
        <v>22740.934519999999</v>
      </c>
      <c r="H55" s="197">
        <v>22740.934519999999</v>
      </c>
    </row>
    <row r="56" spans="1:8" ht="47.25">
      <c r="A56" s="372" t="s">
        <v>567</v>
      </c>
      <c r="B56" s="373"/>
      <c r="C56" s="373"/>
      <c r="D56" s="372" t="s">
        <v>318</v>
      </c>
      <c r="E56" s="373"/>
      <c r="F56" s="197">
        <v>16941.823</v>
      </c>
      <c r="G56" s="197">
        <v>17211.14863</v>
      </c>
      <c r="H56" s="197">
        <v>17211.14863</v>
      </c>
    </row>
    <row r="57" spans="1:8" ht="31.5">
      <c r="A57" s="372" t="s">
        <v>568</v>
      </c>
      <c r="B57" s="372" t="s">
        <v>197</v>
      </c>
      <c r="C57" s="372" t="s">
        <v>201</v>
      </c>
      <c r="D57" s="372" t="s">
        <v>318</v>
      </c>
      <c r="E57" s="373"/>
      <c r="F57" s="197">
        <v>16941.823</v>
      </c>
      <c r="G57" s="197">
        <v>17211.14863</v>
      </c>
      <c r="H57" s="197">
        <v>17211.14863</v>
      </c>
    </row>
    <row r="58" spans="1:8" ht="63">
      <c r="A58" s="372" t="s">
        <v>569</v>
      </c>
      <c r="B58" s="372" t="s">
        <v>197</v>
      </c>
      <c r="C58" s="372" t="s">
        <v>201</v>
      </c>
      <c r="D58" s="372" t="s">
        <v>319</v>
      </c>
      <c r="E58" s="373"/>
      <c r="F58" s="197">
        <v>14072.388999999999</v>
      </c>
      <c r="G58" s="197">
        <v>14091.973</v>
      </c>
      <c r="H58" s="197">
        <v>14091.973</v>
      </c>
    </row>
    <row r="59" spans="1:8" ht="110.25">
      <c r="A59" s="372" t="s">
        <v>556</v>
      </c>
      <c r="B59" s="372" t="s">
        <v>197</v>
      </c>
      <c r="C59" s="372" t="s">
        <v>201</v>
      </c>
      <c r="D59" s="372" t="s">
        <v>319</v>
      </c>
      <c r="E59" s="372" t="s">
        <v>265</v>
      </c>
      <c r="F59" s="197">
        <v>12859.438</v>
      </c>
      <c r="G59" s="197">
        <v>12859.438</v>
      </c>
      <c r="H59" s="197">
        <v>12859.438</v>
      </c>
    </row>
    <row r="60" spans="1:8" ht="47.25">
      <c r="A60" s="372" t="s">
        <v>551</v>
      </c>
      <c r="B60" s="372" t="s">
        <v>197</v>
      </c>
      <c r="C60" s="372" t="s">
        <v>201</v>
      </c>
      <c r="D60" s="372" t="s">
        <v>319</v>
      </c>
      <c r="E60" s="372" t="s">
        <v>266</v>
      </c>
      <c r="F60" s="197">
        <v>1212.951</v>
      </c>
      <c r="G60" s="197">
        <v>1232.5350000000001</v>
      </c>
      <c r="H60" s="197">
        <v>1232.5350000000001</v>
      </c>
    </row>
    <row r="61" spans="1:8" ht="47.25">
      <c r="A61" s="372" t="s">
        <v>570</v>
      </c>
      <c r="B61" s="372" t="s">
        <v>197</v>
      </c>
      <c r="C61" s="372" t="s">
        <v>201</v>
      </c>
      <c r="D61" s="372" t="s">
        <v>320</v>
      </c>
      <c r="E61" s="373"/>
      <c r="F61" s="197">
        <v>2869.4340000000002</v>
      </c>
      <c r="G61" s="197">
        <v>3119.1756300000002</v>
      </c>
      <c r="H61" s="197">
        <v>3119.1756300000002</v>
      </c>
    </row>
    <row r="62" spans="1:8" ht="110.25">
      <c r="A62" s="372" t="s">
        <v>556</v>
      </c>
      <c r="B62" s="372" t="s">
        <v>197</v>
      </c>
      <c r="C62" s="372" t="s">
        <v>201</v>
      </c>
      <c r="D62" s="372" t="s">
        <v>320</v>
      </c>
      <c r="E62" s="372" t="s">
        <v>265</v>
      </c>
      <c r="F62" s="197">
        <v>2562.087</v>
      </c>
      <c r="G62" s="197">
        <v>2713.6466300000002</v>
      </c>
      <c r="H62" s="197">
        <v>2713.6466300000002</v>
      </c>
    </row>
    <row r="63" spans="1:8" ht="47.25">
      <c r="A63" s="372" t="s">
        <v>551</v>
      </c>
      <c r="B63" s="372" t="s">
        <v>197</v>
      </c>
      <c r="C63" s="372" t="s">
        <v>201</v>
      </c>
      <c r="D63" s="372" t="s">
        <v>320</v>
      </c>
      <c r="E63" s="372" t="s">
        <v>266</v>
      </c>
      <c r="F63" s="197">
        <v>306.17700000000002</v>
      </c>
      <c r="G63" s="197">
        <v>404.35899999999998</v>
      </c>
      <c r="H63" s="197">
        <v>404.35899999999998</v>
      </c>
    </row>
    <row r="64" spans="1:8">
      <c r="A64" s="372" t="s">
        <v>558</v>
      </c>
      <c r="B64" s="372" t="s">
        <v>197</v>
      </c>
      <c r="C64" s="372" t="s">
        <v>201</v>
      </c>
      <c r="D64" s="372" t="s">
        <v>320</v>
      </c>
      <c r="E64" s="372" t="s">
        <v>267</v>
      </c>
      <c r="F64" s="197">
        <v>1.17</v>
      </c>
      <c r="G64" s="197">
        <v>1.17</v>
      </c>
      <c r="H64" s="197">
        <v>1.17</v>
      </c>
    </row>
    <row r="65" spans="1:8" ht="78.75">
      <c r="A65" s="372" t="s">
        <v>960</v>
      </c>
      <c r="B65" s="373"/>
      <c r="C65" s="373"/>
      <c r="D65" s="372" t="s">
        <v>961</v>
      </c>
      <c r="E65" s="373"/>
      <c r="F65" s="197">
        <v>5718.5259999999998</v>
      </c>
      <c r="G65" s="197">
        <v>5529.7858900000001</v>
      </c>
      <c r="H65" s="197">
        <v>5529.7858900000001</v>
      </c>
    </row>
    <row r="66" spans="1:8" ht="31.5">
      <c r="A66" s="372" t="s">
        <v>568</v>
      </c>
      <c r="B66" s="372" t="s">
        <v>197</v>
      </c>
      <c r="C66" s="372" t="s">
        <v>201</v>
      </c>
      <c r="D66" s="372" t="s">
        <v>961</v>
      </c>
      <c r="E66" s="373"/>
      <c r="F66" s="197">
        <v>5718.5259999999998</v>
      </c>
      <c r="G66" s="197">
        <v>5529.7858900000001</v>
      </c>
      <c r="H66" s="197">
        <v>5529.7858900000001</v>
      </c>
    </row>
    <row r="67" spans="1:8" ht="63">
      <c r="A67" s="372" t="s">
        <v>962</v>
      </c>
      <c r="B67" s="372" t="s">
        <v>197</v>
      </c>
      <c r="C67" s="372" t="s">
        <v>201</v>
      </c>
      <c r="D67" s="372" t="s">
        <v>963</v>
      </c>
      <c r="E67" s="373"/>
      <c r="F67" s="197">
        <v>5685.1260000000002</v>
      </c>
      <c r="G67" s="197">
        <v>5496.3858899999996</v>
      </c>
      <c r="H67" s="197">
        <v>5496.3858899999996</v>
      </c>
    </row>
    <row r="68" spans="1:8" ht="110.25">
      <c r="A68" s="372" t="s">
        <v>556</v>
      </c>
      <c r="B68" s="372" t="s">
        <v>197</v>
      </c>
      <c r="C68" s="372" t="s">
        <v>201</v>
      </c>
      <c r="D68" s="372" t="s">
        <v>963</v>
      </c>
      <c r="E68" s="372" t="s">
        <v>265</v>
      </c>
      <c r="F68" s="197">
        <v>5162.0280000000002</v>
      </c>
      <c r="G68" s="197">
        <v>4914.88789</v>
      </c>
      <c r="H68" s="197">
        <v>4914.88789</v>
      </c>
    </row>
    <row r="69" spans="1:8" ht="47.25">
      <c r="A69" s="372" t="s">
        <v>551</v>
      </c>
      <c r="B69" s="372" t="s">
        <v>197</v>
      </c>
      <c r="C69" s="372" t="s">
        <v>201</v>
      </c>
      <c r="D69" s="372" t="s">
        <v>963</v>
      </c>
      <c r="E69" s="372" t="s">
        <v>266</v>
      </c>
      <c r="F69" s="197">
        <v>520.38300000000004</v>
      </c>
      <c r="G69" s="197">
        <v>578.78300000000002</v>
      </c>
      <c r="H69" s="197">
        <v>578.78300000000002</v>
      </c>
    </row>
    <row r="70" spans="1:8">
      <c r="A70" s="372" t="s">
        <v>558</v>
      </c>
      <c r="B70" s="372" t="s">
        <v>197</v>
      </c>
      <c r="C70" s="372" t="s">
        <v>201</v>
      </c>
      <c r="D70" s="372" t="s">
        <v>963</v>
      </c>
      <c r="E70" s="372" t="s">
        <v>267</v>
      </c>
      <c r="F70" s="197">
        <v>2.7149999999999999</v>
      </c>
      <c r="G70" s="197">
        <v>2.7149999999999999</v>
      </c>
      <c r="H70" s="197">
        <v>2.7149999999999999</v>
      </c>
    </row>
    <row r="71" spans="1:8" ht="110.25">
      <c r="A71" s="372" t="s">
        <v>964</v>
      </c>
      <c r="B71" s="372" t="s">
        <v>197</v>
      </c>
      <c r="C71" s="372" t="s">
        <v>201</v>
      </c>
      <c r="D71" s="372" t="s">
        <v>965</v>
      </c>
      <c r="E71" s="373"/>
      <c r="F71" s="197">
        <v>33.4</v>
      </c>
      <c r="G71" s="197">
        <v>33.4</v>
      </c>
      <c r="H71" s="197">
        <v>33.4</v>
      </c>
    </row>
    <row r="72" spans="1:8" ht="47.25">
      <c r="A72" s="372" t="s">
        <v>551</v>
      </c>
      <c r="B72" s="372" t="s">
        <v>197</v>
      </c>
      <c r="C72" s="372" t="s">
        <v>201</v>
      </c>
      <c r="D72" s="372" t="s">
        <v>965</v>
      </c>
      <c r="E72" s="372" t="s">
        <v>266</v>
      </c>
      <c r="F72" s="197">
        <v>33.4</v>
      </c>
      <c r="G72" s="197">
        <v>33.4</v>
      </c>
      <c r="H72" s="197">
        <v>33.4</v>
      </c>
    </row>
    <row r="73" spans="1:8" ht="47.25">
      <c r="A73" s="372" t="s">
        <v>966</v>
      </c>
      <c r="B73" s="373"/>
      <c r="C73" s="373"/>
      <c r="D73" s="372" t="s">
        <v>321</v>
      </c>
      <c r="E73" s="373"/>
      <c r="F73" s="197">
        <v>36435.506419999998</v>
      </c>
      <c r="G73" s="197">
        <v>8949.7111399999994</v>
      </c>
      <c r="H73" s="197">
        <v>8949.7117899999994</v>
      </c>
    </row>
    <row r="74" spans="1:8" ht="47.25">
      <c r="A74" s="372" t="s">
        <v>1160</v>
      </c>
      <c r="B74" s="373"/>
      <c r="C74" s="373"/>
      <c r="D74" s="372" t="s">
        <v>1161</v>
      </c>
      <c r="E74" s="373"/>
      <c r="F74" s="197">
        <v>6893.8244199999999</v>
      </c>
      <c r="G74" s="197">
        <v>0</v>
      </c>
      <c r="H74" s="197">
        <v>0</v>
      </c>
    </row>
    <row r="75" spans="1:8">
      <c r="A75" s="372" t="s">
        <v>545</v>
      </c>
      <c r="B75" s="372" t="s">
        <v>197</v>
      </c>
      <c r="C75" s="372" t="s">
        <v>200</v>
      </c>
      <c r="D75" s="372" t="s">
        <v>1161</v>
      </c>
      <c r="E75" s="373"/>
      <c r="F75" s="197">
        <v>6893.8244199999999</v>
      </c>
      <c r="G75" s="197">
        <v>0</v>
      </c>
      <c r="H75" s="197">
        <v>0</v>
      </c>
    </row>
    <row r="76" spans="1:8" ht="47.25">
      <c r="A76" s="372" t="s">
        <v>1162</v>
      </c>
      <c r="B76" s="372" t="s">
        <v>197</v>
      </c>
      <c r="C76" s="372" t="s">
        <v>200</v>
      </c>
      <c r="D76" s="372" t="s">
        <v>1163</v>
      </c>
      <c r="E76" s="373"/>
      <c r="F76" s="197">
        <v>3347.9396099999999</v>
      </c>
      <c r="G76" s="197">
        <v>0</v>
      </c>
      <c r="H76" s="197">
        <v>0</v>
      </c>
    </row>
    <row r="77" spans="1:8" ht="47.25">
      <c r="A77" s="372" t="s">
        <v>551</v>
      </c>
      <c r="B77" s="372" t="s">
        <v>197</v>
      </c>
      <c r="C77" s="372" t="s">
        <v>200</v>
      </c>
      <c r="D77" s="372" t="s">
        <v>1163</v>
      </c>
      <c r="E77" s="372" t="s">
        <v>266</v>
      </c>
      <c r="F77" s="197">
        <v>2846.4456599999999</v>
      </c>
      <c r="G77" s="197">
        <v>0</v>
      </c>
      <c r="H77" s="197">
        <v>0</v>
      </c>
    </row>
    <row r="78" spans="1:8" ht="47.25">
      <c r="A78" s="372" t="s">
        <v>605</v>
      </c>
      <c r="B78" s="372" t="s">
        <v>197</v>
      </c>
      <c r="C78" s="372" t="s">
        <v>200</v>
      </c>
      <c r="D78" s="372" t="s">
        <v>1163</v>
      </c>
      <c r="E78" s="372" t="s">
        <v>270</v>
      </c>
      <c r="F78" s="197">
        <v>501.49394999999998</v>
      </c>
      <c r="G78" s="197">
        <v>0</v>
      </c>
      <c r="H78" s="197">
        <v>0</v>
      </c>
    </row>
    <row r="79" spans="1:8" ht="31.5">
      <c r="A79" s="372" t="s">
        <v>1401</v>
      </c>
      <c r="B79" s="372" t="s">
        <v>197</v>
      </c>
      <c r="C79" s="372" t="s">
        <v>200</v>
      </c>
      <c r="D79" s="372" t="s">
        <v>1402</v>
      </c>
      <c r="E79" s="373"/>
      <c r="F79" s="197">
        <v>3545.88481</v>
      </c>
      <c r="G79" s="197">
        <v>0</v>
      </c>
      <c r="H79" s="197">
        <v>0</v>
      </c>
    </row>
    <row r="80" spans="1:8" ht="47.25">
      <c r="A80" s="372" t="s">
        <v>547</v>
      </c>
      <c r="B80" s="372" t="s">
        <v>197</v>
      </c>
      <c r="C80" s="372" t="s">
        <v>200</v>
      </c>
      <c r="D80" s="372" t="s">
        <v>1402</v>
      </c>
      <c r="E80" s="372" t="s">
        <v>268</v>
      </c>
      <c r="F80" s="197">
        <v>3545.88481</v>
      </c>
      <c r="G80" s="197">
        <v>0</v>
      </c>
      <c r="H80" s="197">
        <v>0</v>
      </c>
    </row>
    <row r="81" spans="1:8" ht="47.25">
      <c r="A81" s="372" t="s">
        <v>967</v>
      </c>
      <c r="B81" s="373"/>
      <c r="C81" s="373"/>
      <c r="D81" s="372" t="s">
        <v>322</v>
      </c>
      <c r="E81" s="373"/>
      <c r="F81" s="197">
        <v>14644.84376</v>
      </c>
      <c r="G81" s="197">
        <v>3033.20453</v>
      </c>
      <c r="H81" s="197">
        <v>3033.2051799999999</v>
      </c>
    </row>
    <row r="82" spans="1:8">
      <c r="A82" s="372" t="s">
        <v>545</v>
      </c>
      <c r="B82" s="372" t="s">
        <v>197</v>
      </c>
      <c r="C82" s="372" t="s">
        <v>200</v>
      </c>
      <c r="D82" s="372" t="s">
        <v>322</v>
      </c>
      <c r="E82" s="373"/>
      <c r="F82" s="197">
        <v>7356.73686</v>
      </c>
      <c r="G82" s="197">
        <v>737.04</v>
      </c>
      <c r="H82" s="197">
        <v>887.04</v>
      </c>
    </row>
    <row r="83" spans="1:8" ht="63">
      <c r="A83" s="372" t="s">
        <v>1179</v>
      </c>
      <c r="B83" s="372" t="s">
        <v>197</v>
      </c>
      <c r="C83" s="372" t="s">
        <v>200</v>
      </c>
      <c r="D83" s="372" t="s">
        <v>1261</v>
      </c>
      <c r="E83" s="373"/>
      <c r="F83" s="197">
        <v>5259.45586</v>
      </c>
      <c r="G83" s="197">
        <v>0</v>
      </c>
      <c r="H83" s="197">
        <v>0</v>
      </c>
    </row>
    <row r="84" spans="1:8" ht="47.25">
      <c r="A84" s="372" t="s">
        <v>547</v>
      </c>
      <c r="B84" s="372" t="s">
        <v>197</v>
      </c>
      <c r="C84" s="372" t="s">
        <v>200</v>
      </c>
      <c r="D84" s="372" t="s">
        <v>1261</v>
      </c>
      <c r="E84" s="372" t="s">
        <v>268</v>
      </c>
      <c r="F84" s="197">
        <v>5259.45586</v>
      </c>
      <c r="G84" s="197">
        <v>0</v>
      </c>
      <c r="H84" s="197">
        <v>0</v>
      </c>
    </row>
    <row r="85" spans="1:8" ht="47.25">
      <c r="A85" s="372" t="s">
        <v>968</v>
      </c>
      <c r="B85" s="372" t="s">
        <v>197</v>
      </c>
      <c r="C85" s="372" t="s">
        <v>200</v>
      </c>
      <c r="D85" s="372" t="s">
        <v>323</v>
      </c>
      <c r="E85" s="373"/>
      <c r="F85" s="197">
        <v>2097.2809999999999</v>
      </c>
      <c r="G85" s="197">
        <v>737.04</v>
      </c>
      <c r="H85" s="197">
        <v>887.04</v>
      </c>
    </row>
    <row r="86" spans="1:8" ht="47.25">
      <c r="A86" s="372" t="s">
        <v>547</v>
      </c>
      <c r="B86" s="372" t="s">
        <v>197</v>
      </c>
      <c r="C86" s="372" t="s">
        <v>200</v>
      </c>
      <c r="D86" s="372" t="s">
        <v>323</v>
      </c>
      <c r="E86" s="372" t="s">
        <v>268</v>
      </c>
      <c r="F86" s="197">
        <v>2097.2809999999999</v>
      </c>
      <c r="G86" s="197">
        <v>737.04</v>
      </c>
      <c r="H86" s="197">
        <v>887.04</v>
      </c>
    </row>
    <row r="87" spans="1:8">
      <c r="A87" s="372" t="s">
        <v>555</v>
      </c>
      <c r="B87" s="372" t="s">
        <v>197</v>
      </c>
      <c r="C87" s="372" t="s">
        <v>198</v>
      </c>
      <c r="D87" s="372" t="s">
        <v>322</v>
      </c>
      <c r="E87" s="373"/>
      <c r="F87" s="197">
        <v>4966.2829000000002</v>
      </c>
      <c r="G87" s="197">
        <v>2231.3645299999998</v>
      </c>
      <c r="H87" s="197">
        <v>2021.36518</v>
      </c>
    </row>
    <row r="88" spans="1:8" ht="63">
      <c r="A88" s="372" t="s">
        <v>1179</v>
      </c>
      <c r="B88" s="372" t="s">
        <v>197</v>
      </c>
      <c r="C88" s="372" t="s">
        <v>198</v>
      </c>
      <c r="D88" s="372" t="s">
        <v>1261</v>
      </c>
      <c r="E88" s="373"/>
      <c r="F88" s="197">
        <v>3674.9769000000001</v>
      </c>
      <c r="G88" s="197">
        <v>0</v>
      </c>
      <c r="H88" s="197">
        <v>0</v>
      </c>
    </row>
    <row r="89" spans="1:8" ht="47.25">
      <c r="A89" s="372" t="s">
        <v>547</v>
      </c>
      <c r="B89" s="372" t="s">
        <v>197</v>
      </c>
      <c r="C89" s="372" t="s">
        <v>198</v>
      </c>
      <c r="D89" s="372" t="s">
        <v>1261</v>
      </c>
      <c r="E89" s="372" t="s">
        <v>268</v>
      </c>
      <c r="F89" s="197">
        <v>3674.9769000000001</v>
      </c>
      <c r="G89" s="197">
        <v>0</v>
      </c>
      <c r="H89" s="197">
        <v>0</v>
      </c>
    </row>
    <row r="90" spans="1:8" ht="47.25">
      <c r="A90" s="372" t="s">
        <v>968</v>
      </c>
      <c r="B90" s="372" t="s">
        <v>197</v>
      </c>
      <c r="C90" s="372" t="s">
        <v>198</v>
      </c>
      <c r="D90" s="372" t="s">
        <v>323</v>
      </c>
      <c r="E90" s="373"/>
      <c r="F90" s="197">
        <v>892.88599999999997</v>
      </c>
      <c r="G90" s="197">
        <v>2231.3645299999998</v>
      </c>
      <c r="H90" s="197">
        <v>2021.36518</v>
      </c>
    </row>
    <row r="91" spans="1:8" ht="47.25">
      <c r="A91" s="372" t="s">
        <v>547</v>
      </c>
      <c r="B91" s="372" t="s">
        <v>197</v>
      </c>
      <c r="C91" s="372" t="s">
        <v>198</v>
      </c>
      <c r="D91" s="372" t="s">
        <v>323</v>
      </c>
      <c r="E91" s="372" t="s">
        <v>268</v>
      </c>
      <c r="F91" s="197">
        <v>892.88599999999997</v>
      </c>
      <c r="G91" s="197">
        <v>2231.3645299999998</v>
      </c>
      <c r="H91" s="197">
        <v>2021.36518</v>
      </c>
    </row>
    <row r="92" spans="1:8" ht="94.5">
      <c r="A92" s="372" t="s">
        <v>1379</v>
      </c>
      <c r="B92" s="372" t="s">
        <v>197</v>
      </c>
      <c r="C92" s="372" t="s">
        <v>198</v>
      </c>
      <c r="D92" s="372" t="s">
        <v>1380</v>
      </c>
      <c r="E92" s="373"/>
      <c r="F92" s="197">
        <v>398.42</v>
      </c>
      <c r="G92" s="197">
        <v>0</v>
      </c>
      <c r="H92" s="197">
        <v>0</v>
      </c>
    </row>
    <row r="93" spans="1:8" ht="47.25">
      <c r="A93" s="372" t="s">
        <v>547</v>
      </c>
      <c r="B93" s="372" t="s">
        <v>197</v>
      </c>
      <c r="C93" s="372" t="s">
        <v>198</v>
      </c>
      <c r="D93" s="372" t="s">
        <v>1380</v>
      </c>
      <c r="E93" s="372" t="s">
        <v>268</v>
      </c>
      <c r="F93" s="197">
        <v>398.42</v>
      </c>
      <c r="G93" s="197">
        <v>0</v>
      </c>
      <c r="H93" s="197">
        <v>0</v>
      </c>
    </row>
    <row r="94" spans="1:8">
      <c r="A94" s="372" t="s">
        <v>562</v>
      </c>
      <c r="B94" s="372" t="s">
        <v>197</v>
      </c>
      <c r="C94" s="372" t="s">
        <v>202</v>
      </c>
      <c r="D94" s="372" t="s">
        <v>322</v>
      </c>
      <c r="E94" s="373"/>
      <c r="F94" s="197">
        <v>2321.8240000000001</v>
      </c>
      <c r="G94" s="197">
        <v>64.8</v>
      </c>
      <c r="H94" s="197">
        <v>124.8</v>
      </c>
    </row>
    <row r="95" spans="1:8" ht="63">
      <c r="A95" s="372" t="s">
        <v>1179</v>
      </c>
      <c r="B95" s="372" t="s">
        <v>197</v>
      </c>
      <c r="C95" s="372" t="s">
        <v>202</v>
      </c>
      <c r="D95" s="372" t="s">
        <v>1261</v>
      </c>
      <c r="E95" s="373"/>
      <c r="F95" s="197">
        <v>2257.0239999999999</v>
      </c>
      <c r="G95" s="197">
        <v>0</v>
      </c>
      <c r="H95" s="197">
        <v>0</v>
      </c>
    </row>
    <row r="96" spans="1:8" ht="47.25">
      <c r="A96" s="372" t="s">
        <v>547</v>
      </c>
      <c r="B96" s="372" t="s">
        <v>197</v>
      </c>
      <c r="C96" s="372" t="s">
        <v>202</v>
      </c>
      <c r="D96" s="372" t="s">
        <v>1261</v>
      </c>
      <c r="E96" s="372" t="s">
        <v>268</v>
      </c>
      <c r="F96" s="197">
        <v>2257.0239999999999</v>
      </c>
      <c r="G96" s="197">
        <v>0</v>
      </c>
      <c r="H96" s="197">
        <v>0</v>
      </c>
    </row>
    <row r="97" spans="1:8" ht="47.25">
      <c r="A97" s="372" t="s">
        <v>968</v>
      </c>
      <c r="B97" s="372" t="s">
        <v>197</v>
      </c>
      <c r="C97" s="372" t="s">
        <v>202</v>
      </c>
      <c r="D97" s="372" t="s">
        <v>323</v>
      </c>
      <c r="E97" s="373"/>
      <c r="F97" s="197">
        <v>64.8</v>
      </c>
      <c r="G97" s="197">
        <v>64.8</v>
      </c>
      <c r="H97" s="197">
        <v>124.8</v>
      </c>
    </row>
    <row r="98" spans="1:8" ht="47.25">
      <c r="A98" s="372" t="s">
        <v>547</v>
      </c>
      <c r="B98" s="372" t="s">
        <v>197</v>
      </c>
      <c r="C98" s="372" t="s">
        <v>202</v>
      </c>
      <c r="D98" s="372" t="s">
        <v>323</v>
      </c>
      <c r="E98" s="372" t="s">
        <v>268</v>
      </c>
      <c r="F98" s="197">
        <v>64.8</v>
      </c>
      <c r="G98" s="197">
        <v>64.8</v>
      </c>
      <c r="H98" s="197">
        <v>124.8</v>
      </c>
    </row>
    <row r="99" spans="1:8" ht="47.25">
      <c r="A99" s="372" t="s">
        <v>969</v>
      </c>
      <c r="B99" s="373"/>
      <c r="C99" s="373"/>
      <c r="D99" s="372" t="s">
        <v>324</v>
      </c>
      <c r="E99" s="373"/>
      <c r="F99" s="197">
        <v>526</v>
      </c>
      <c r="G99" s="197">
        <v>550</v>
      </c>
      <c r="H99" s="197">
        <v>550</v>
      </c>
    </row>
    <row r="100" spans="1:8">
      <c r="A100" s="372" t="s">
        <v>555</v>
      </c>
      <c r="B100" s="372" t="s">
        <v>197</v>
      </c>
      <c r="C100" s="372" t="s">
        <v>198</v>
      </c>
      <c r="D100" s="372" t="s">
        <v>324</v>
      </c>
      <c r="E100" s="373"/>
      <c r="F100" s="197">
        <v>266</v>
      </c>
      <c r="G100" s="197">
        <v>290</v>
      </c>
      <c r="H100" s="197">
        <v>290</v>
      </c>
    </row>
    <row r="101" spans="1:8" ht="47.25">
      <c r="A101" s="372" t="s">
        <v>1164</v>
      </c>
      <c r="B101" s="372" t="s">
        <v>197</v>
      </c>
      <c r="C101" s="372" t="s">
        <v>198</v>
      </c>
      <c r="D101" s="372" t="s">
        <v>1165</v>
      </c>
      <c r="E101" s="373"/>
      <c r="F101" s="197">
        <v>66</v>
      </c>
      <c r="G101" s="197">
        <v>90</v>
      </c>
      <c r="H101" s="197">
        <v>90</v>
      </c>
    </row>
    <row r="102" spans="1:8" ht="47.25">
      <c r="A102" s="372" t="s">
        <v>551</v>
      </c>
      <c r="B102" s="372" t="s">
        <v>197</v>
      </c>
      <c r="C102" s="372" t="s">
        <v>198</v>
      </c>
      <c r="D102" s="372" t="s">
        <v>1165</v>
      </c>
      <c r="E102" s="372" t="s">
        <v>266</v>
      </c>
      <c r="F102" s="197">
        <v>66</v>
      </c>
      <c r="G102" s="197">
        <v>90</v>
      </c>
      <c r="H102" s="197">
        <v>90</v>
      </c>
    </row>
    <row r="103" spans="1:8" ht="47.25">
      <c r="A103" s="372" t="s">
        <v>970</v>
      </c>
      <c r="B103" s="372" t="s">
        <v>197</v>
      </c>
      <c r="C103" s="372" t="s">
        <v>198</v>
      </c>
      <c r="D103" s="372" t="s">
        <v>971</v>
      </c>
      <c r="E103" s="373"/>
      <c r="F103" s="197">
        <v>200</v>
      </c>
      <c r="G103" s="197">
        <v>200</v>
      </c>
      <c r="H103" s="197">
        <v>200</v>
      </c>
    </row>
    <row r="104" spans="1:8" ht="47.25">
      <c r="A104" s="372" t="s">
        <v>547</v>
      </c>
      <c r="B104" s="372" t="s">
        <v>197</v>
      </c>
      <c r="C104" s="372" t="s">
        <v>198</v>
      </c>
      <c r="D104" s="372" t="s">
        <v>971</v>
      </c>
      <c r="E104" s="372" t="s">
        <v>268</v>
      </c>
      <c r="F104" s="197">
        <v>200</v>
      </c>
      <c r="G104" s="197">
        <v>200</v>
      </c>
      <c r="H104" s="197">
        <v>200</v>
      </c>
    </row>
    <row r="105" spans="1:8">
      <c r="A105" s="372" t="s">
        <v>562</v>
      </c>
      <c r="B105" s="372" t="s">
        <v>197</v>
      </c>
      <c r="C105" s="372" t="s">
        <v>202</v>
      </c>
      <c r="D105" s="372" t="s">
        <v>324</v>
      </c>
      <c r="E105" s="373"/>
      <c r="F105" s="197">
        <v>260</v>
      </c>
      <c r="G105" s="197">
        <v>260</v>
      </c>
      <c r="H105" s="197">
        <v>260</v>
      </c>
    </row>
    <row r="106" spans="1:8" ht="31.5">
      <c r="A106" s="372" t="s">
        <v>566</v>
      </c>
      <c r="B106" s="372" t="s">
        <v>197</v>
      </c>
      <c r="C106" s="372" t="s">
        <v>202</v>
      </c>
      <c r="D106" s="372" t="s">
        <v>972</v>
      </c>
      <c r="E106" s="373"/>
      <c r="F106" s="197">
        <v>200</v>
      </c>
      <c r="G106" s="197">
        <v>200</v>
      </c>
      <c r="H106" s="197">
        <v>200</v>
      </c>
    </row>
    <row r="107" spans="1:8" ht="47.25">
      <c r="A107" s="372" t="s">
        <v>547</v>
      </c>
      <c r="B107" s="372" t="s">
        <v>197</v>
      </c>
      <c r="C107" s="372" t="s">
        <v>202</v>
      </c>
      <c r="D107" s="372" t="s">
        <v>972</v>
      </c>
      <c r="E107" s="372" t="s">
        <v>268</v>
      </c>
      <c r="F107" s="197">
        <v>200</v>
      </c>
      <c r="G107" s="197">
        <v>200</v>
      </c>
      <c r="H107" s="197">
        <v>200</v>
      </c>
    </row>
    <row r="108" spans="1:8" ht="31.5">
      <c r="A108" s="372" t="s">
        <v>603</v>
      </c>
      <c r="B108" s="372" t="s">
        <v>197</v>
      </c>
      <c r="C108" s="372" t="s">
        <v>202</v>
      </c>
      <c r="D108" s="372" t="s">
        <v>973</v>
      </c>
      <c r="E108" s="373"/>
      <c r="F108" s="197">
        <v>60</v>
      </c>
      <c r="G108" s="197">
        <v>60</v>
      </c>
      <c r="H108" s="197">
        <v>60</v>
      </c>
    </row>
    <row r="109" spans="1:8" ht="47.25">
      <c r="A109" s="372" t="s">
        <v>547</v>
      </c>
      <c r="B109" s="372" t="s">
        <v>197</v>
      </c>
      <c r="C109" s="372" t="s">
        <v>202</v>
      </c>
      <c r="D109" s="372" t="s">
        <v>973</v>
      </c>
      <c r="E109" s="372" t="s">
        <v>268</v>
      </c>
      <c r="F109" s="197">
        <v>60</v>
      </c>
      <c r="G109" s="197">
        <v>60</v>
      </c>
      <c r="H109" s="197">
        <v>60</v>
      </c>
    </row>
    <row r="110" spans="1:8" ht="63">
      <c r="A110" s="372" t="s">
        <v>560</v>
      </c>
      <c r="B110" s="373"/>
      <c r="C110" s="373"/>
      <c r="D110" s="372" t="s">
        <v>849</v>
      </c>
      <c r="E110" s="373"/>
      <c r="F110" s="197">
        <v>6921.1242400000001</v>
      </c>
      <c r="G110" s="197">
        <v>5366.5066100000004</v>
      </c>
      <c r="H110" s="197">
        <v>5366.5066100000004</v>
      </c>
    </row>
    <row r="111" spans="1:8">
      <c r="A111" s="372" t="s">
        <v>555</v>
      </c>
      <c r="B111" s="372" t="s">
        <v>197</v>
      </c>
      <c r="C111" s="372" t="s">
        <v>198</v>
      </c>
      <c r="D111" s="372" t="s">
        <v>849</v>
      </c>
      <c r="E111" s="373"/>
      <c r="F111" s="197">
        <v>2367.0219999999999</v>
      </c>
      <c r="G111" s="197">
        <v>684</v>
      </c>
      <c r="H111" s="197">
        <v>684</v>
      </c>
    </row>
    <row r="112" spans="1:8" ht="63">
      <c r="A112" s="372" t="s">
        <v>850</v>
      </c>
      <c r="B112" s="372" t="s">
        <v>197</v>
      </c>
      <c r="C112" s="372" t="s">
        <v>198</v>
      </c>
      <c r="D112" s="372" t="s">
        <v>851</v>
      </c>
      <c r="E112" s="373"/>
      <c r="F112" s="197">
        <v>2367.0219999999999</v>
      </c>
      <c r="G112" s="197">
        <v>684</v>
      </c>
      <c r="H112" s="197">
        <v>684</v>
      </c>
    </row>
    <row r="113" spans="1:8" ht="47.25">
      <c r="A113" s="372" t="s">
        <v>547</v>
      </c>
      <c r="B113" s="372" t="s">
        <v>197</v>
      </c>
      <c r="C113" s="372" t="s">
        <v>198</v>
      </c>
      <c r="D113" s="372" t="s">
        <v>851</v>
      </c>
      <c r="E113" s="372" t="s">
        <v>268</v>
      </c>
      <c r="F113" s="197">
        <v>2367.0219999999999</v>
      </c>
      <c r="G113" s="197">
        <v>684</v>
      </c>
      <c r="H113" s="197">
        <v>684</v>
      </c>
    </row>
    <row r="114" spans="1:8">
      <c r="A114" s="372" t="s">
        <v>549</v>
      </c>
      <c r="B114" s="372" t="s">
        <v>203</v>
      </c>
      <c r="C114" s="372" t="s">
        <v>195</v>
      </c>
      <c r="D114" s="372" t="s">
        <v>849</v>
      </c>
      <c r="E114" s="373"/>
      <c r="F114" s="197">
        <v>4554.1022400000002</v>
      </c>
      <c r="G114" s="197">
        <v>4682.5066100000004</v>
      </c>
      <c r="H114" s="197">
        <v>4682.5066100000004</v>
      </c>
    </row>
    <row r="115" spans="1:8" ht="141.75">
      <c r="A115" s="372" t="s">
        <v>550</v>
      </c>
      <c r="B115" s="372" t="s">
        <v>203</v>
      </c>
      <c r="C115" s="372" t="s">
        <v>195</v>
      </c>
      <c r="D115" s="372" t="s">
        <v>974</v>
      </c>
      <c r="E115" s="373"/>
      <c r="F115" s="197">
        <v>4554.1022400000002</v>
      </c>
      <c r="G115" s="197">
        <v>4682.5066100000004</v>
      </c>
      <c r="H115" s="197">
        <v>4682.5066100000004</v>
      </c>
    </row>
    <row r="116" spans="1:8" ht="47.25">
      <c r="A116" s="372" t="s">
        <v>551</v>
      </c>
      <c r="B116" s="372" t="s">
        <v>203</v>
      </c>
      <c r="C116" s="372" t="s">
        <v>195</v>
      </c>
      <c r="D116" s="372" t="s">
        <v>974</v>
      </c>
      <c r="E116" s="372" t="s">
        <v>266</v>
      </c>
      <c r="F116" s="197">
        <v>67.302000000000007</v>
      </c>
      <c r="G116" s="197">
        <v>69.199610000000007</v>
      </c>
      <c r="H116" s="197">
        <v>69.199610000000007</v>
      </c>
    </row>
    <row r="117" spans="1:8" ht="31.5">
      <c r="A117" s="372" t="s">
        <v>552</v>
      </c>
      <c r="B117" s="372" t="s">
        <v>203</v>
      </c>
      <c r="C117" s="372" t="s">
        <v>195</v>
      </c>
      <c r="D117" s="372" t="s">
        <v>974</v>
      </c>
      <c r="E117" s="372" t="s">
        <v>271</v>
      </c>
      <c r="F117" s="197">
        <v>4486.8002399999996</v>
      </c>
      <c r="G117" s="197">
        <v>4613.3069999999998</v>
      </c>
      <c r="H117" s="197">
        <v>4613.3069999999998</v>
      </c>
    </row>
    <row r="118" spans="1:8" ht="31.5">
      <c r="A118" s="372" t="s">
        <v>1403</v>
      </c>
      <c r="B118" s="373"/>
      <c r="C118" s="373"/>
      <c r="D118" s="372" t="s">
        <v>1404</v>
      </c>
      <c r="E118" s="373"/>
      <c r="F118" s="197">
        <v>7449.7139999999999</v>
      </c>
      <c r="G118" s="197">
        <v>0</v>
      </c>
      <c r="H118" s="197">
        <v>0</v>
      </c>
    </row>
    <row r="119" spans="1:8">
      <c r="A119" s="372" t="s">
        <v>562</v>
      </c>
      <c r="B119" s="372" t="s">
        <v>197</v>
      </c>
      <c r="C119" s="372" t="s">
        <v>202</v>
      </c>
      <c r="D119" s="372" t="s">
        <v>1404</v>
      </c>
      <c r="E119" s="373"/>
      <c r="F119" s="197">
        <v>7449.7139999999999</v>
      </c>
      <c r="G119" s="197">
        <v>0</v>
      </c>
      <c r="H119" s="197">
        <v>0</v>
      </c>
    </row>
    <row r="120" spans="1:8" ht="94.5">
      <c r="A120" s="372" t="s">
        <v>1405</v>
      </c>
      <c r="B120" s="372" t="s">
        <v>197</v>
      </c>
      <c r="C120" s="372" t="s">
        <v>202</v>
      </c>
      <c r="D120" s="372" t="s">
        <v>1406</v>
      </c>
      <c r="E120" s="373"/>
      <c r="F120" s="197">
        <v>7449.7139999999999</v>
      </c>
      <c r="G120" s="197">
        <v>0</v>
      </c>
      <c r="H120" s="197">
        <v>0</v>
      </c>
    </row>
    <row r="121" spans="1:8" ht="47.25">
      <c r="A121" s="372" t="s">
        <v>547</v>
      </c>
      <c r="B121" s="372" t="s">
        <v>197</v>
      </c>
      <c r="C121" s="372" t="s">
        <v>202</v>
      </c>
      <c r="D121" s="372" t="s">
        <v>1406</v>
      </c>
      <c r="E121" s="372" t="s">
        <v>268</v>
      </c>
      <c r="F121" s="197">
        <v>7449.7139999999999</v>
      </c>
      <c r="G121" s="197">
        <v>0</v>
      </c>
      <c r="H121" s="197">
        <v>0</v>
      </c>
    </row>
    <row r="122" spans="1:8" ht="47.25">
      <c r="A122" s="372" t="s">
        <v>430</v>
      </c>
      <c r="B122" s="373"/>
      <c r="C122" s="373"/>
      <c r="D122" s="372" t="s">
        <v>325</v>
      </c>
      <c r="E122" s="373"/>
      <c r="F122" s="197">
        <v>60551.386039999998</v>
      </c>
      <c r="G122" s="197">
        <v>44115.061000000002</v>
      </c>
      <c r="H122" s="197">
        <v>39115.061000000002</v>
      </c>
    </row>
    <row r="123" spans="1:8">
      <c r="A123" s="372" t="s">
        <v>571</v>
      </c>
      <c r="B123" s="373"/>
      <c r="C123" s="373"/>
      <c r="D123" s="372" t="s">
        <v>326</v>
      </c>
      <c r="E123" s="373"/>
      <c r="F123" s="197">
        <v>27091.526000000002</v>
      </c>
      <c r="G123" s="197">
        <v>20521.285</v>
      </c>
      <c r="H123" s="197">
        <v>20521.285</v>
      </c>
    </row>
    <row r="124" spans="1:8" ht="47.25">
      <c r="A124" s="372" t="s">
        <v>572</v>
      </c>
      <c r="B124" s="373"/>
      <c r="C124" s="373"/>
      <c r="D124" s="372" t="s">
        <v>327</v>
      </c>
      <c r="E124" s="373"/>
      <c r="F124" s="197">
        <v>23791.542000000001</v>
      </c>
      <c r="G124" s="197">
        <v>17226.785</v>
      </c>
      <c r="H124" s="197">
        <v>17226.785</v>
      </c>
    </row>
    <row r="125" spans="1:8">
      <c r="A125" s="372" t="s">
        <v>573</v>
      </c>
      <c r="B125" s="372" t="s">
        <v>199</v>
      </c>
      <c r="C125" s="372" t="s">
        <v>200</v>
      </c>
      <c r="D125" s="372" t="s">
        <v>327</v>
      </c>
      <c r="E125" s="373"/>
      <c r="F125" s="197">
        <v>23791.542000000001</v>
      </c>
      <c r="G125" s="197">
        <v>17226.785</v>
      </c>
      <c r="H125" s="197">
        <v>17226.785</v>
      </c>
    </row>
    <row r="126" spans="1:8" ht="47.25">
      <c r="A126" s="372" t="s">
        <v>867</v>
      </c>
      <c r="B126" s="372" t="s">
        <v>199</v>
      </c>
      <c r="C126" s="372" t="s">
        <v>200</v>
      </c>
      <c r="D126" s="372" t="s">
        <v>873</v>
      </c>
      <c r="E126" s="373"/>
      <c r="F126" s="197">
        <v>2077.2316000000001</v>
      </c>
      <c r="G126" s="197">
        <v>2033.5840000000001</v>
      </c>
      <c r="H126" s="197">
        <v>2033.5840000000001</v>
      </c>
    </row>
    <row r="127" spans="1:8" ht="47.25">
      <c r="A127" s="372" t="s">
        <v>547</v>
      </c>
      <c r="B127" s="372" t="s">
        <v>199</v>
      </c>
      <c r="C127" s="372" t="s">
        <v>200</v>
      </c>
      <c r="D127" s="372" t="s">
        <v>873</v>
      </c>
      <c r="E127" s="372" t="s">
        <v>268</v>
      </c>
      <c r="F127" s="197">
        <v>2077.2316000000001</v>
      </c>
      <c r="G127" s="197">
        <v>2033.5840000000001</v>
      </c>
      <c r="H127" s="197">
        <v>2033.5840000000001</v>
      </c>
    </row>
    <row r="128" spans="1:8" ht="63">
      <c r="A128" s="372" t="s">
        <v>574</v>
      </c>
      <c r="B128" s="372" t="s">
        <v>199</v>
      </c>
      <c r="C128" s="372" t="s">
        <v>200</v>
      </c>
      <c r="D128" s="372" t="s">
        <v>328</v>
      </c>
      <c r="E128" s="373"/>
      <c r="F128" s="197">
        <v>14239.179400000001</v>
      </c>
      <c r="G128" s="197">
        <v>14609.601000000001</v>
      </c>
      <c r="H128" s="197">
        <v>14609.601000000001</v>
      </c>
    </row>
    <row r="129" spans="1:8" ht="47.25">
      <c r="A129" s="372" t="s">
        <v>547</v>
      </c>
      <c r="B129" s="372" t="s">
        <v>199</v>
      </c>
      <c r="C129" s="372" t="s">
        <v>200</v>
      </c>
      <c r="D129" s="372" t="s">
        <v>328</v>
      </c>
      <c r="E129" s="372" t="s">
        <v>268</v>
      </c>
      <c r="F129" s="197">
        <v>14239.179400000001</v>
      </c>
      <c r="G129" s="197">
        <v>14609.601000000001</v>
      </c>
      <c r="H129" s="197">
        <v>14609.601000000001</v>
      </c>
    </row>
    <row r="130" spans="1:8" ht="63">
      <c r="A130" s="372" t="s">
        <v>575</v>
      </c>
      <c r="B130" s="372" t="s">
        <v>199</v>
      </c>
      <c r="C130" s="372" t="s">
        <v>200</v>
      </c>
      <c r="D130" s="372" t="s">
        <v>329</v>
      </c>
      <c r="E130" s="373"/>
      <c r="F130" s="197">
        <v>583.6</v>
      </c>
      <c r="G130" s="197">
        <v>583.6</v>
      </c>
      <c r="H130" s="197">
        <v>583.6</v>
      </c>
    </row>
    <row r="131" spans="1:8" ht="47.25">
      <c r="A131" s="372" t="s">
        <v>547</v>
      </c>
      <c r="B131" s="372" t="s">
        <v>199</v>
      </c>
      <c r="C131" s="372" t="s">
        <v>200</v>
      </c>
      <c r="D131" s="372" t="s">
        <v>329</v>
      </c>
      <c r="E131" s="372" t="s">
        <v>268</v>
      </c>
      <c r="F131" s="197">
        <v>583.6</v>
      </c>
      <c r="G131" s="197">
        <v>583.6</v>
      </c>
      <c r="H131" s="197">
        <v>583.6</v>
      </c>
    </row>
    <row r="132" spans="1:8" ht="31.5">
      <c r="A132" s="372" t="s">
        <v>1212</v>
      </c>
      <c r="B132" s="372" t="s">
        <v>199</v>
      </c>
      <c r="C132" s="372" t="s">
        <v>200</v>
      </c>
      <c r="D132" s="372" t="s">
        <v>1213</v>
      </c>
      <c r="E132" s="373"/>
      <c r="F132" s="197">
        <v>27.978999999999999</v>
      </c>
      <c r="G132" s="197">
        <v>0</v>
      </c>
      <c r="H132" s="197">
        <v>0</v>
      </c>
    </row>
    <row r="133" spans="1:8" ht="47.25">
      <c r="A133" s="372" t="s">
        <v>547</v>
      </c>
      <c r="B133" s="372" t="s">
        <v>199</v>
      </c>
      <c r="C133" s="372" t="s">
        <v>200</v>
      </c>
      <c r="D133" s="372" t="s">
        <v>1213</v>
      </c>
      <c r="E133" s="372" t="s">
        <v>268</v>
      </c>
      <c r="F133" s="197">
        <v>27.978999999999999</v>
      </c>
      <c r="G133" s="197">
        <v>0</v>
      </c>
      <c r="H133" s="197">
        <v>0</v>
      </c>
    </row>
    <row r="134" spans="1:8" ht="78.75">
      <c r="A134" s="372" t="s">
        <v>975</v>
      </c>
      <c r="B134" s="372" t="s">
        <v>199</v>
      </c>
      <c r="C134" s="372" t="s">
        <v>200</v>
      </c>
      <c r="D134" s="372" t="s">
        <v>976</v>
      </c>
      <c r="E134" s="373"/>
      <c r="F134" s="197">
        <v>6863.5519999999997</v>
      </c>
      <c r="G134" s="197">
        <v>0</v>
      </c>
      <c r="H134" s="197">
        <v>0</v>
      </c>
    </row>
    <row r="135" spans="1:8" ht="47.25">
      <c r="A135" s="372" t="s">
        <v>547</v>
      </c>
      <c r="B135" s="372" t="s">
        <v>199</v>
      </c>
      <c r="C135" s="372" t="s">
        <v>200</v>
      </c>
      <c r="D135" s="372" t="s">
        <v>976</v>
      </c>
      <c r="E135" s="372" t="s">
        <v>268</v>
      </c>
      <c r="F135" s="197">
        <v>6863.5519999999997</v>
      </c>
      <c r="G135" s="197">
        <v>0</v>
      </c>
      <c r="H135" s="197">
        <v>0</v>
      </c>
    </row>
    <row r="136" spans="1:8" ht="47.25">
      <c r="A136" s="372" t="s">
        <v>576</v>
      </c>
      <c r="B136" s="373"/>
      <c r="C136" s="373"/>
      <c r="D136" s="372" t="s">
        <v>330</v>
      </c>
      <c r="E136" s="373"/>
      <c r="F136" s="197">
        <v>3243.9839999999999</v>
      </c>
      <c r="G136" s="197">
        <v>3238.5</v>
      </c>
      <c r="H136" s="197">
        <v>3238.5</v>
      </c>
    </row>
    <row r="137" spans="1:8" ht="31.5">
      <c r="A137" s="372" t="s">
        <v>577</v>
      </c>
      <c r="B137" s="372" t="s">
        <v>200</v>
      </c>
      <c r="C137" s="372" t="s">
        <v>6</v>
      </c>
      <c r="D137" s="372" t="s">
        <v>330</v>
      </c>
      <c r="E137" s="373"/>
      <c r="F137" s="197">
        <v>3243.9839999999999</v>
      </c>
      <c r="G137" s="197">
        <v>3238.5</v>
      </c>
      <c r="H137" s="197">
        <v>3238.5</v>
      </c>
    </row>
    <row r="138" spans="1:8" ht="47.25">
      <c r="A138" s="372" t="s">
        <v>867</v>
      </c>
      <c r="B138" s="372" t="s">
        <v>200</v>
      </c>
      <c r="C138" s="372" t="s">
        <v>6</v>
      </c>
      <c r="D138" s="372" t="s">
        <v>874</v>
      </c>
      <c r="E138" s="373"/>
      <c r="F138" s="197">
        <v>732.14800000000002</v>
      </c>
      <c r="G138" s="197">
        <v>732.14800000000002</v>
      </c>
      <c r="H138" s="197">
        <v>732.14800000000002</v>
      </c>
    </row>
    <row r="139" spans="1:8" ht="47.25">
      <c r="A139" s="372" t="s">
        <v>547</v>
      </c>
      <c r="B139" s="372" t="s">
        <v>200</v>
      </c>
      <c r="C139" s="372" t="s">
        <v>6</v>
      </c>
      <c r="D139" s="372" t="s">
        <v>874</v>
      </c>
      <c r="E139" s="372" t="s">
        <v>268</v>
      </c>
      <c r="F139" s="197">
        <v>732.14800000000002</v>
      </c>
      <c r="G139" s="197">
        <v>732.14800000000002</v>
      </c>
      <c r="H139" s="197">
        <v>732.14800000000002</v>
      </c>
    </row>
    <row r="140" spans="1:8" ht="78.75">
      <c r="A140" s="372" t="s">
        <v>578</v>
      </c>
      <c r="B140" s="372" t="s">
        <v>200</v>
      </c>
      <c r="C140" s="372" t="s">
        <v>6</v>
      </c>
      <c r="D140" s="372" t="s">
        <v>331</v>
      </c>
      <c r="E140" s="373"/>
      <c r="F140" s="197">
        <v>2511.8359999999998</v>
      </c>
      <c r="G140" s="197">
        <v>2506.3519999999999</v>
      </c>
      <c r="H140" s="197">
        <v>2506.3519999999999</v>
      </c>
    </row>
    <row r="141" spans="1:8" ht="47.25">
      <c r="A141" s="372" t="s">
        <v>547</v>
      </c>
      <c r="B141" s="372" t="s">
        <v>200</v>
      </c>
      <c r="C141" s="372" t="s">
        <v>6</v>
      </c>
      <c r="D141" s="372" t="s">
        <v>331</v>
      </c>
      <c r="E141" s="372" t="s">
        <v>268</v>
      </c>
      <c r="F141" s="197">
        <v>2511.8359999999998</v>
      </c>
      <c r="G141" s="197">
        <v>2506.3519999999999</v>
      </c>
      <c r="H141" s="197">
        <v>2506.3519999999999</v>
      </c>
    </row>
    <row r="142" spans="1:8" ht="63">
      <c r="A142" s="372" t="s">
        <v>579</v>
      </c>
      <c r="B142" s="373"/>
      <c r="C142" s="373"/>
      <c r="D142" s="372" t="s">
        <v>332</v>
      </c>
      <c r="E142" s="373"/>
      <c r="F142" s="197">
        <v>56</v>
      </c>
      <c r="G142" s="197">
        <v>56</v>
      </c>
      <c r="H142" s="197">
        <v>56</v>
      </c>
    </row>
    <row r="143" spans="1:8">
      <c r="A143" s="372" t="s">
        <v>573</v>
      </c>
      <c r="B143" s="372" t="s">
        <v>199</v>
      </c>
      <c r="C143" s="372" t="s">
        <v>200</v>
      </c>
      <c r="D143" s="372" t="s">
        <v>332</v>
      </c>
      <c r="E143" s="373"/>
      <c r="F143" s="197">
        <v>56</v>
      </c>
      <c r="G143" s="197">
        <v>56</v>
      </c>
      <c r="H143" s="197">
        <v>56</v>
      </c>
    </row>
    <row r="144" spans="1:8" ht="141.75">
      <c r="A144" s="372" t="s">
        <v>580</v>
      </c>
      <c r="B144" s="372" t="s">
        <v>199</v>
      </c>
      <c r="C144" s="372" t="s">
        <v>200</v>
      </c>
      <c r="D144" s="372" t="s">
        <v>333</v>
      </c>
      <c r="E144" s="373"/>
      <c r="F144" s="197">
        <v>56</v>
      </c>
      <c r="G144" s="197">
        <v>56</v>
      </c>
      <c r="H144" s="197">
        <v>56</v>
      </c>
    </row>
    <row r="145" spans="1:8" ht="47.25">
      <c r="A145" s="372" t="s">
        <v>551</v>
      </c>
      <c r="B145" s="372" t="s">
        <v>199</v>
      </c>
      <c r="C145" s="372" t="s">
        <v>200</v>
      </c>
      <c r="D145" s="372" t="s">
        <v>333</v>
      </c>
      <c r="E145" s="372" t="s">
        <v>266</v>
      </c>
      <c r="F145" s="197">
        <v>56</v>
      </c>
      <c r="G145" s="197">
        <v>56</v>
      </c>
      <c r="H145" s="197">
        <v>56</v>
      </c>
    </row>
    <row r="146" spans="1:8" ht="31.5">
      <c r="A146" s="372" t="s">
        <v>581</v>
      </c>
      <c r="B146" s="373"/>
      <c r="C146" s="373"/>
      <c r="D146" s="372" t="s">
        <v>334</v>
      </c>
      <c r="E146" s="373"/>
      <c r="F146" s="197">
        <v>29878.68404</v>
      </c>
      <c r="G146" s="197">
        <v>20012.599999999999</v>
      </c>
      <c r="H146" s="197">
        <v>15012.6</v>
      </c>
    </row>
    <row r="147" spans="1:8" ht="63">
      <c r="A147" s="372" t="s">
        <v>582</v>
      </c>
      <c r="B147" s="373"/>
      <c r="C147" s="373"/>
      <c r="D147" s="372" t="s">
        <v>335</v>
      </c>
      <c r="E147" s="373"/>
      <c r="F147" s="197">
        <v>29878.68404</v>
      </c>
      <c r="G147" s="197">
        <v>20012.599999999999</v>
      </c>
      <c r="H147" s="197">
        <v>15012.6</v>
      </c>
    </row>
    <row r="148" spans="1:8">
      <c r="A148" s="372" t="s">
        <v>573</v>
      </c>
      <c r="B148" s="372" t="s">
        <v>199</v>
      </c>
      <c r="C148" s="372" t="s">
        <v>200</v>
      </c>
      <c r="D148" s="372" t="s">
        <v>335</v>
      </c>
      <c r="E148" s="373"/>
      <c r="F148" s="197">
        <v>29878.68404</v>
      </c>
      <c r="G148" s="197">
        <v>20012.599999999999</v>
      </c>
      <c r="H148" s="197">
        <v>15012.6</v>
      </c>
    </row>
    <row r="149" spans="1:8" ht="47.25">
      <c r="A149" s="372" t="s">
        <v>867</v>
      </c>
      <c r="B149" s="372" t="s">
        <v>199</v>
      </c>
      <c r="C149" s="372" t="s">
        <v>200</v>
      </c>
      <c r="D149" s="372" t="s">
        <v>875</v>
      </c>
      <c r="E149" s="373"/>
      <c r="F149" s="197">
        <v>2247.9209999999998</v>
      </c>
      <c r="G149" s="197">
        <v>2247.9209999999998</v>
      </c>
      <c r="H149" s="197">
        <v>247.92099999999999</v>
      </c>
    </row>
    <row r="150" spans="1:8" ht="47.25">
      <c r="A150" s="372" t="s">
        <v>547</v>
      </c>
      <c r="B150" s="372" t="s">
        <v>199</v>
      </c>
      <c r="C150" s="372" t="s">
        <v>200</v>
      </c>
      <c r="D150" s="372" t="s">
        <v>875</v>
      </c>
      <c r="E150" s="372" t="s">
        <v>268</v>
      </c>
      <c r="F150" s="197">
        <v>2247.9209999999998</v>
      </c>
      <c r="G150" s="197">
        <v>2247.9209999999998</v>
      </c>
      <c r="H150" s="197">
        <v>247.92099999999999</v>
      </c>
    </row>
    <row r="151" spans="1:8" ht="94.5">
      <c r="A151" s="372" t="s">
        <v>584</v>
      </c>
      <c r="B151" s="372" t="s">
        <v>199</v>
      </c>
      <c r="C151" s="372" t="s">
        <v>200</v>
      </c>
      <c r="D151" s="372" t="s">
        <v>336</v>
      </c>
      <c r="E151" s="373"/>
      <c r="F151" s="197">
        <v>17094.800299999999</v>
      </c>
      <c r="G151" s="197">
        <v>17764.679</v>
      </c>
      <c r="H151" s="197">
        <v>14764.679</v>
      </c>
    </row>
    <row r="152" spans="1:8" ht="47.25">
      <c r="A152" s="372" t="s">
        <v>547</v>
      </c>
      <c r="B152" s="372" t="s">
        <v>199</v>
      </c>
      <c r="C152" s="372" t="s">
        <v>200</v>
      </c>
      <c r="D152" s="372" t="s">
        <v>336</v>
      </c>
      <c r="E152" s="372" t="s">
        <v>268</v>
      </c>
      <c r="F152" s="197">
        <v>17094.800299999999</v>
      </c>
      <c r="G152" s="197">
        <v>17764.679</v>
      </c>
      <c r="H152" s="197">
        <v>14764.679</v>
      </c>
    </row>
    <row r="153" spans="1:8" ht="31.5">
      <c r="A153" s="372" t="s">
        <v>1194</v>
      </c>
      <c r="B153" s="372" t="s">
        <v>199</v>
      </c>
      <c r="C153" s="372" t="s">
        <v>200</v>
      </c>
      <c r="D153" s="372" t="s">
        <v>1195</v>
      </c>
      <c r="E153" s="373"/>
      <c r="F153" s="197">
        <v>640.70000000000005</v>
      </c>
      <c r="G153" s="197">
        <v>0</v>
      </c>
      <c r="H153" s="197">
        <v>0</v>
      </c>
    </row>
    <row r="154" spans="1:8" ht="47.25">
      <c r="A154" s="372" t="s">
        <v>551</v>
      </c>
      <c r="B154" s="372" t="s">
        <v>199</v>
      </c>
      <c r="C154" s="372" t="s">
        <v>200</v>
      </c>
      <c r="D154" s="372" t="s">
        <v>1195</v>
      </c>
      <c r="E154" s="372" t="s">
        <v>266</v>
      </c>
      <c r="F154" s="197">
        <v>610.70000000000005</v>
      </c>
      <c r="G154" s="197">
        <v>0</v>
      </c>
      <c r="H154" s="197">
        <v>0</v>
      </c>
    </row>
    <row r="155" spans="1:8" ht="31.5">
      <c r="A155" s="372" t="s">
        <v>552</v>
      </c>
      <c r="B155" s="372" t="s">
        <v>199</v>
      </c>
      <c r="C155" s="372" t="s">
        <v>200</v>
      </c>
      <c r="D155" s="372" t="s">
        <v>1195</v>
      </c>
      <c r="E155" s="372" t="s">
        <v>271</v>
      </c>
      <c r="F155" s="197">
        <v>30</v>
      </c>
      <c r="G155" s="197">
        <v>0</v>
      </c>
      <c r="H155" s="197">
        <v>0</v>
      </c>
    </row>
    <row r="156" spans="1:8" ht="63">
      <c r="A156" s="372" t="s">
        <v>1179</v>
      </c>
      <c r="B156" s="372" t="s">
        <v>199</v>
      </c>
      <c r="C156" s="372" t="s">
        <v>200</v>
      </c>
      <c r="D156" s="372" t="s">
        <v>1262</v>
      </c>
      <c r="E156" s="373"/>
      <c r="F156" s="197">
        <v>2219.2387399999998</v>
      </c>
      <c r="G156" s="197">
        <v>0</v>
      </c>
      <c r="H156" s="197">
        <v>0</v>
      </c>
    </row>
    <row r="157" spans="1:8" ht="47.25">
      <c r="A157" s="372" t="s">
        <v>547</v>
      </c>
      <c r="B157" s="372" t="s">
        <v>199</v>
      </c>
      <c r="C157" s="372" t="s">
        <v>200</v>
      </c>
      <c r="D157" s="372" t="s">
        <v>1262</v>
      </c>
      <c r="E157" s="372" t="s">
        <v>268</v>
      </c>
      <c r="F157" s="197">
        <v>2219.2387399999998</v>
      </c>
      <c r="G157" s="197">
        <v>0</v>
      </c>
      <c r="H157" s="197">
        <v>0</v>
      </c>
    </row>
    <row r="158" spans="1:8" ht="78.75">
      <c r="A158" s="372" t="s">
        <v>975</v>
      </c>
      <c r="B158" s="372" t="s">
        <v>199</v>
      </c>
      <c r="C158" s="372" t="s">
        <v>200</v>
      </c>
      <c r="D158" s="372" t="s">
        <v>977</v>
      </c>
      <c r="E158" s="373"/>
      <c r="F158" s="197">
        <v>7676.0240000000003</v>
      </c>
      <c r="G158" s="197">
        <v>0</v>
      </c>
      <c r="H158" s="197">
        <v>0</v>
      </c>
    </row>
    <row r="159" spans="1:8" ht="47.25">
      <c r="A159" s="372" t="s">
        <v>547</v>
      </c>
      <c r="B159" s="372" t="s">
        <v>199</v>
      </c>
      <c r="C159" s="372" t="s">
        <v>200</v>
      </c>
      <c r="D159" s="372" t="s">
        <v>977</v>
      </c>
      <c r="E159" s="372" t="s">
        <v>268</v>
      </c>
      <c r="F159" s="197">
        <v>7676.0240000000003</v>
      </c>
      <c r="G159" s="197">
        <v>0</v>
      </c>
      <c r="H159" s="197">
        <v>0</v>
      </c>
    </row>
    <row r="160" spans="1:8" ht="31.5">
      <c r="A160" s="372" t="s">
        <v>585</v>
      </c>
      <c r="B160" s="373"/>
      <c r="C160" s="373"/>
      <c r="D160" s="372" t="s">
        <v>337</v>
      </c>
      <c r="E160" s="373"/>
      <c r="F160" s="197">
        <v>100</v>
      </c>
      <c r="G160" s="197">
        <v>100</v>
      </c>
      <c r="H160" s="197">
        <v>100</v>
      </c>
    </row>
    <row r="161" spans="1:8" ht="94.5">
      <c r="A161" s="372" t="s">
        <v>586</v>
      </c>
      <c r="B161" s="373"/>
      <c r="C161" s="373"/>
      <c r="D161" s="372" t="s">
        <v>338</v>
      </c>
      <c r="E161" s="373"/>
      <c r="F161" s="197">
        <v>100</v>
      </c>
      <c r="G161" s="197">
        <v>100</v>
      </c>
      <c r="H161" s="197">
        <v>100</v>
      </c>
    </row>
    <row r="162" spans="1:8" ht="31.5">
      <c r="A162" s="372" t="s">
        <v>587</v>
      </c>
      <c r="B162" s="372" t="s">
        <v>195</v>
      </c>
      <c r="C162" s="372" t="s">
        <v>196</v>
      </c>
      <c r="D162" s="372" t="s">
        <v>338</v>
      </c>
      <c r="E162" s="373"/>
      <c r="F162" s="197">
        <v>100</v>
      </c>
      <c r="G162" s="197">
        <v>100</v>
      </c>
      <c r="H162" s="197">
        <v>100</v>
      </c>
    </row>
    <row r="163" spans="1:8" ht="47.25">
      <c r="A163" s="372" t="s">
        <v>588</v>
      </c>
      <c r="B163" s="372" t="s">
        <v>195</v>
      </c>
      <c r="C163" s="372" t="s">
        <v>196</v>
      </c>
      <c r="D163" s="372" t="s">
        <v>339</v>
      </c>
      <c r="E163" s="373"/>
      <c r="F163" s="197">
        <v>100</v>
      </c>
      <c r="G163" s="197">
        <v>100</v>
      </c>
      <c r="H163" s="197">
        <v>100</v>
      </c>
    </row>
    <row r="164" spans="1:8" ht="47.25">
      <c r="A164" s="372" t="s">
        <v>551</v>
      </c>
      <c r="B164" s="372" t="s">
        <v>195</v>
      </c>
      <c r="C164" s="372" t="s">
        <v>196</v>
      </c>
      <c r="D164" s="372" t="s">
        <v>339</v>
      </c>
      <c r="E164" s="372" t="s">
        <v>266</v>
      </c>
      <c r="F164" s="197">
        <v>50</v>
      </c>
      <c r="G164" s="197">
        <v>50</v>
      </c>
      <c r="H164" s="197">
        <v>50</v>
      </c>
    </row>
    <row r="165" spans="1:8" ht="47.25">
      <c r="A165" s="372" t="s">
        <v>547</v>
      </c>
      <c r="B165" s="372" t="s">
        <v>195</v>
      </c>
      <c r="C165" s="372" t="s">
        <v>196</v>
      </c>
      <c r="D165" s="372" t="s">
        <v>339</v>
      </c>
      <c r="E165" s="372" t="s">
        <v>268</v>
      </c>
      <c r="F165" s="197">
        <v>50</v>
      </c>
      <c r="G165" s="197">
        <v>50</v>
      </c>
      <c r="H165" s="197">
        <v>50</v>
      </c>
    </row>
    <row r="166" spans="1:8" ht="78.75">
      <c r="A166" s="372" t="s">
        <v>978</v>
      </c>
      <c r="B166" s="373"/>
      <c r="C166" s="373"/>
      <c r="D166" s="372" t="s">
        <v>979</v>
      </c>
      <c r="E166" s="373"/>
      <c r="F166" s="197">
        <v>3481.1759999999999</v>
      </c>
      <c r="G166" s="197">
        <v>3481.1759999999999</v>
      </c>
      <c r="H166" s="197">
        <v>3481.1759999999999</v>
      </c>
    </row>
    <row r="167" spans="1:8" ht="78.75">
      <c r="A167" s="372" t="s">
        <v>960</v>
      </c>
      <c r="B167" s="373"/>
      <c r="C167" s="373"/>
      <c r="D167" s="372" t="s">
        <v>980</v>
      </c>
      <c r="E167" s="373"/>
      <c r="F167" s="197">
        <v>3481.1759999999999</v>
      </c>
      <c r="G167" s="197">
        <v>3481.1759999999999</v>
      </c>
      <c r="H167" s="197">
        <v>3481.1759999999999</v>
      </c>
    </row>
    <row r="168" spans="1:8" ht="31.5">
      <c r="A168" s="372" t="s">
        <v>664</v>
      </c>
      <c r="B168" s="372" t="s">
        <v>199</v>
      </c>
      <c r="C168" s="372" t="s">
        <v>195</v>
      </c>
      <c r="D168" s="372" t="s">
        <v>980</v>
      </c>
      <c r="E168" s="373"/>
      <c r="F168" s="197">
        <v>3481.1759999999999</v>
      </c>
      <c r="G168" s="197">
        <v>3481.1759999999999</v>
      </c>
      <c r="H168" s="197">
        <v>3481.1759999999999</v>
      </c>
    </row>
    <row r="169" spans="1:8" ht="63">
      <c r="A169" s="372" t="s">
        <v>962</v>
      </c>
      <c r="B169" s="372" t="s">
        <v>199</v>
      </c>
      <c r="C169" s="372" t="s">
        <v>195</v>
      </c>
      <c r="D169" s="372" t="s">
        <v>981</v>
      </c>
      <c r="E169" s="373"/>
      <c r="F169" s="197">
        <v>3451.1759999999999</v>
      </c>
      <c r="G169" s="197">
        <v>3451.1759999999999</v>
      </c>
      <c r="H169" s="197">
        <v>3451.1759999999999</v>
      </c>
    </row>
    <row r="170" spans="1:8" ht="110.25">
      <c r="A170" s="372" t="s">
        <v>556</v>
      </c>
      <c r="B170" s="372" t="s">
        <v>199</v>
      </c>
      <c r="C170" s="372" t="s">
        <v>195</v>
      </c>
      <c r="D170" s="372" t="s">
        <v>981</v>
      </c>
      <c r="E170" s="372" t="s">
        <v>265</v>
      </c>
      <c r="F170" s="197">
        <v>2982.6689999999999</v>
      </c>
      <c r="G170" s="197">
        <v>2982.6689999999999</v>
      </c>
      <c r="H170" s="197">
        <v>2982.6689999999999</v>
      </c>
    </row>
    <row r="171" spans="1:8" ht="47.25">
      <c r="A171" s="372" t="s">
        <v>551</v>
      </c>
      <c r="B171" s="372" t="s">
        <v>199</v>
      </c>
      <c r="C171" s="372" t="s">
        <v>195</v>
      </c>
      <c r="D171" s="372" t="s">
        <v>981</v>
      </c>
      <c r="E171" s="372" t="s">
        <v>266</v>
      </c>
      <c r="F171" s="197">
        <v>463.15699999999998</v>
      </c>
      <c r="G171" s="197">
        <v>463.15699999999998</v>
      </c>
      <c r="H171" s="197">
        <v>463.15699999999998</v>
      </c>
    </row>
    <row r="172" spans="1:8">
      <c r="A172" s="372" t="s">
        <v>558</v>
      </c>
      <c r="B172" s="372" t="s">
        <v>199</v>
      </c>
      <c r="C172" s="372" t="s">
        <v>195</v>
      </c>
      <c r="D172" s="372" t="s">
        <v>981</v>
      </c>
      <c r="E172" s="372" t="s">
        <v>267</v>
      </c>
      <c r="F172" s="197">
        <v>5.35</v>
      </c>
      <c r="G172" s="197">
        <v>5.35</v>
      </c>
      <c r="H172" s="197">
        <v>5.35</v>
      </c>
    </row>
    <row r="173" spans="1:8" ht="110.25">
      <c r="A173" s="372" t="s">
        <v>964</v>
      </c>
      <c r="B173" s="372" t="s">
        <v>199</v>
      </c>
      <c r="C173" s="372" t="s">
        <v>195</v>
      </c>
      <c r="D173" s="372" t="s">
        <v>982</v>
      </c>
      <c r="E173" s="373"/>
      <c r="F173" s="197">
        <v>30</v>
      </c>
      <c r="G173" s="197">
        <v>30</v>
      </c>
      <c r="H173" s="197">
        <v>30</v>
      </c>
    </row>
    <row r="174" spans="1:8" ht="47.25">
      <c r="A174" s="372" t="s">
        <v>551</v>
      </c>
      <c r="B174" s="372" t="s">
        <v>199</v>
      </c>
      <c r="C174" s="372" t="s">
        <v>195</v>
      </c>
      <c r="D174" s="372" t="s">
        <v>982</v>
      </c>
      <c r="E174" s="372" t="s">
        <v>266</v>
      </c>
      <c r="F174" s="197">
        <v>30</v>
      </c>
      <c r="G174" s="197">
        <v>30</v>
      </c>
      <c r="H174" s="197">
        <v>30</v>
      </c>
    </row>
    <row r="175" spans="1:8" ht="63">
      <c r="A175" s="372" t="s">
        <v>431</v>
      </c>
      <c r="B175" s="373"/>
      <c r="C175" s="373"/>
      <c r="D175" s="372" t="s">
        <v>340</v>
      </c>
      <c r="E175" s="373"/>
      <c r="F175" s="197">
        <v>14897.724200000001</v>
      </c>
      <c r="G175" s="197">
        <v>13770.25</v>
      </c>
      <c r="H175" s="197">
        <v>13770.25</v>
      </c>
    </row>
    <row r="176" spans="1:8" ht="31.5">
      <c r="A176" s="372" t="s">
        <v>876</v>
      </c>
      <c r="B176" s="373"/>
      <c r="C176" s="373"/>
      <c r="D176" s="372" t="s">
        <v>341</v>
      </c>
      <c r="E176" s="373"/>
      <c r="F176" s="197">
        <v>1530.1</v>
      </c>
      <c r="G176" s="197">
        <v>447.1</v>
      </c>
      <c r="H176" s="197">
        <v>447.1</v>
      </c>
    </row>
    <row r="177" spans="1:8" ht="63">
      <c r="A177" s="372" t="s">
        <v>983</v>
      </c>
      <c r="B177" s="373"/>
      <c r="C177" s="373"/>
      <c r="D177" s="372" t="s">
        <v>342</v>
      </c>
      <c r="E177" s="373"/>
      <c r="F177" s="197">
        <v>267.10000000000002</v>
      </c>
      <c r="G177" s="197">
        <v>267.10000000000002</v>
      </c>
      <c r="H177" s="197">
        <v>267.10000000000002</v>
      </c>
    </row>
    <row r="178" spans="1:8">
      <c r="A178" s="372" t="s">
        <v>589</v>
      </c>
      <c r="B178" s="372" t="s">
        <v>5</v>
      </c>
      <c r="C178" s="372" t="s">
        <v>198</v>
      </c>
      <c r="D178" s="372" t="s">
        <v>342</v>
      </c>
      <c r="E178" s="373"/>
      <c r="F178" s="197">
        <v>267.10000000000002</v>
      </c>
      <c r="G178" s="197">
        <v>267.10000000000002</v>
      </c>
      <c r="H178" s="197">
        <v>267.10000000000002</v>
      </c>
    </row>
    <row r="179" spans="1:8" ht="94.5">
      <c r="A179" s="372" t="s">
        <v>590</v>
      </c>
      <c r="B179" s="372" t="s">
        <v>5</v>
      </c>
      <c r="C179" s="372" t="s">
        <v>198</v>
      </c>
      <c r="D179" s="372" t="s">
        <v>464</v>
      </c>
      <c r="E179" s="373"/>
      <c r="F179" s="197">
        <v>267.10000000000002</v>
      </c>
      <c r="G179" s="197">
        <v>267.10000000000002</v>
      </c>
      <c r="H179" s="197">
        <v>267.10000000000002</v>
      </c>
    </row>
    <row r="180" spans="1:8" ht="47.25">
      <c r="A180" s="372" t="s">
        <v>547</v>
      </c>
      <c r="B180" s="372" t="s">
        <v>5</v>
      </c>
      <c r="C180" s="372" t="s">
        <v>198</v>
      </c>
      <c r="D180" s="372" t="s">
        <v>464</v>
      </c>
      <c r="E180" s="372" t="s">
        <v>268</v>
      </c>
      <c r="F180" s="197">
        <v>267.10000000000002</v>
      </c>
      <c r="G180" s="197">
        <v>267.10000000000002</v>
      </c>
      <c r="H180" s="197">
        <v>267.10000000000002</v>
      </c>
    </row>
    <row r="181" spans="1:8" ht="78.75">
      <c r="A181" s="372" t="s">
        <v>1196</v>
      </c>
      <c r="B181" s="373"/>
      <c r="C181" s="373"/>
      <c r="D181" s="372" t="s">
        <v>1197</v>
      </c>
      <c r="E181" s="373"/>
      <c r="F181" s="197">
        <v>833</v>
      </c>
      <c r="G181" s="197">
        <v>0</v>
      </c>
      <c r="H181" s="197">
        <v>0</v>
      </c>
    </row>
    <row r="182" spans="1:8">
      <c r="A182" s="372" t="s">
        <v>589</v>
      </c>
      <c r="B182" s="372" t="s">
        <v>5</v>
      </c>
      <c r="C182" s="372" t="s">
        <v>198</v>
      </c>
      <c r="D182" s="372" t="s">
        <v>1197</v>
      </c>
      <c r="E182" s="373"/>
      <c r="F182" s="197">
        <v>833</v>
      </c>
      <c r="G182" s="197">
        <v>0</v>
      </c>
      <c r="H182" s="197">
        <v>0</v>
      </c>
    </row>
    <row r="183" spans="1:8" ht="94.5">
      <c r="A183" s="372" t="s">
        <v>1198</v>
      </c>
      <c r="B183" s="372" t="s">
        <v>5</v>
      </c>
      <c r="C183" s="372" t="s">
        <v>198</v>
      </c>
      <c r="D183" s="372" t="s">
        <v>1199</v>
      </c>
      <c r="E183" s="373"/>
      <c r="F183" s="197">
        <v>833</v>
      </c>
      <c r="G183" s="197">
        <v>0</v>
      </c>
      <c r="H183" s="197">
        <v>0</v>
      </c>
    </row>
    <row r="184" spans="1:8" ht="47.25">
      <c r="A184" s="372" t="s">
        <v>551</v>
      </c>
      <c r="B184" s="372" t="s">
        <v>5</v>
      </c>
      <c r="C184" s="372" t="s">
        <v>198</v>
      </c>
      <c r="D184" s="372" t="s">
        <v>1199</v>
      </c>
      <c r="E184" s="372" t="s">
        <v>266</v>
      </c>
      <c r="F184" s="197">
        <v>833</v>
      </c>
      <c r="G184" s="197">
        <v>0</v>
      </c>
      <c r="H184" s="197">
        <v>0</v>
      </c>
    </row>
    <row r="185" spans="1:8" ht="94.5">
      <c r="A185" s="372" t="s">
        <v>984</v>
      </c>
      <c r="B185" s="373"/>
      <c r="C185" s="373"/>
      <c r="D185" s="372" t="s">
        <v>985</v>
      </c>
      <c r="E185" s="373"/>
      <c r="F185" s="197">
        <v>430</v>
      </c>
      <c r="G185" s="197">
        <v>180</v>
      </c>
      <c r="H185" s="197">
        <v>180</v>
      </c>
    </row>
    <row r="186" spans="1:8">
      <c r="A186" s="372" t="s">
        <v>589</v>
      </c>
      <c r="B186" s="372" t="s">
        <v>5</v>
      </c>
      <c r="C186" s="372" t="s">
        <v>198</v>
      </c>
      <c r="D186" s="372" t="s">
        <v>985</v>
      </c>
      <c r="E186" s="373"/>
      <c r="F186" s="197">
        <v>430</v>
      </c>
      <c r="G186" s="197">
        <v>180</v>
      </c>
      <c r="H186" s="197">
        <v>180</v>
      </c>
    </row>
    <row r="187" spans="1:8" ht="63">
      <c r="A187" s="372" t="s">
        <v>1179</v>
      </c>
      <c r="B187" s="372" t="s">
        <v>5</v>
      </c>
      <c r="C187" s="372" t="s">
        <v>198</v>
      </c>
      <c r="D187" s="372" t="s">
        <v>1263</v>
      </c>
      <c r="E187" s="373"/>
      <c r="F187" s="197">
        <v>100</v>
      </c>
      <c r="G187" s="197">
        <v>0</v>
      </c>
      <c r="H187" s="197">
        <v>0</v>
      </c>
    </row>
    <row r="188" spans="1:8" ht="47.25">
      <c r="A188" s="372" t="s">
        <v>547</v>
      </c>
      <c r="B188" s="372" t="s">
        <v>5</v>
      </c>
      <c r="C188" s="372" t="s">
        <v>198</v>
      </c>
      <c r="D188" s="372" t="s">
        <v>1263</v>
      </c>
      <c r="E188" s="372" t="s">
        <v>268</v>
      </c>
      <c r="F188" s="197">
        <v>100</v>
      </c>
      <c r="G188" s="197">
        <v>0</v>
      </c>
      <c r="H188" s="197">
        <v>0</v>
      </c>
    </row>
    <row r="189" spans="1:8" ht="63">
      <c r="A189" s="372" t="s">
        <v>591</v>
      </c>
      <c r="B189" s="372" t="s">
        <v>5</v>
      </c>
      <c r="C189" s="372" t="s">
        <v>198</v>
      </c>
      <c r="D189" s="372" t="s">
        <v>986</v>
      </c>
      <c r="E189" s="373"/>
      <c r="F189" s="197">
        <v>300</v>
      </c>
      <c r="G189" s="197">
        <v>150</v>
      </c>
      <c r="H189" s="197">
        <v>150</v>
      </c>
    </row>
    <row r="190" spans="1:8" ht="47.25">
      <c r="A190" s="372" t="s">
        <v>551</v>
      </c>
      <c r="B190" s="372" t="s">
        <v>5</v>
      </c>
      <c r="C190" s="372" t="s">
        <v>198</v>
      </c>
      <c r="D190" s="372" t="s">
        <v>986</v>
      </c>
      <c r="E190" s="372" t="s">
        <v>266</v>
      </c>
      <c r="F190" s="197">
        <v>150</v>
      </c>
      <c r="G190" s="197">
        <v>75</v>
      </c>
      <c r="H190" s="197">
        <v>75</v>
      </c>
    </row>
    <row r="191" spans="1:8" ht="47.25">
      <c r="A191" s="372" t="s">
        <v>547</v>
      </c>
      <c r="B191" s="372" t="s">
        <v>5</v>
      </c>
      <c r="C191" s="372" t="s">
        <v>198</v>
      </c>
      <c r="D191" s="372" t="s">
        <v>986</v>
      </c>
      <c r="E191" s="372" t="s">
        <v>268</v>
      </c>
      <c r="F191" s="197">
        <v>150</v>
      </c>
      <c r="G191" s="197">
        <v>75</v>
      </c>
      <c r="H191" s="197">
        <v>75</v>
      </c>
    </row>
    <row r="192" spans="1:8" ht="63">
      <c r="A192" s="372" t="s">
        <v>592</v>
      </c>
      <c r="B192" s="372" t="s">
        <v>5</v>
      </c>
      <c r="C192" s="372" t="s">
        <v>198</v>
      </c>
      <c r="D192" s="372" t="s">
        <v>987</v>
      </c>
      <c r="E192" s="373"/>
      <c r="F192" s="197">
        <v>30</v>
      </c>
      <c r="G192" s="197">
        <v>30</v>
      </c>
      <c r="H192" s="197">
        <v>30</v>
      </c>
    </row>
    <row r="193" spans="1:8" ht="47.25">
      <c r="A193" s="372" t="s">
        <v>551</v>
      </c>
      <c r="B193" s="372" t="s">
        <v>5</v>
      </c>
      <c r="C193" s="372" t="s">
        <v>198</v>
      </c>
      <c r="D193" s="372" t="s">
        <v>987</v>
      </c>
      <c r="E193" s="372" t="s">
        <v>266</v>
      </c>
      <c r="F193" s="197">
        <v>30</v>
      </c>
      <c r="G193" s="197">
        <v>30</v>
      </c>
      <c r="H193" s="197">
        <v>30</v>
      </c>
    </row>
    <row r="194" spans="1:8" ht="31.5">
      <c r="A194" s="372" t="s">
        <v>988</v>
      </c>
      <c r="B194" s="373"/>
      <c r="C194" s="373"/>
      <c r="D194" s="372" t="s">
        <v>343</v>
      </c>
      <c r="E194" s="373"/>
      <c r="F194" s="197">
        <v>10499.5002</v>
      </c>
      <c r="G194" s="197">
        <v>10462.026</v>
      </c>
      <c r="H194" s="197">
        <v>10462.026</v>
      </c>
    </row>
    <row r="195" spans="1:8" ht="78.75">
      <c r="A195" s="372" t="s">
        <v>989</v>
      </c>
      <c r="B195" s="373"/>
      <c r="C195" s="373"/>
      <c r="D195" s="372" t="s">
        <v>344</v>
      </c>
      <c r="E195" s="373"/>
      <c r="F195" s="197">
        <v>10499.5002</v>
      </c>
      <c r="G195" s="197">
        <v>10462.026</v>
      </c>
      <c r="H195" s="197">
        <v>10462.026</v>
      </c>
    </row>
    <row r="196" spans="1:8">
      <c r="A196" s="372" t="s">
        <v>589</v>
      </c>
      <c r="B196" s="372" t="s">
        <v>5</v>
      </c>
      <c r="C196" s="372" t="s">
        <v>198</v>
      </c>
      <c r="D196" s="372" t="s">
        <v>344</v>
      </c>
      <c r="E196" s="373"/>
      <c r="F196" s="197">
        <v>10499.5002</v>
      </c>
      <c r="G196" s="197">
        <v>10462.026</v>
      </c>
      <c r="H196" s="197">
        <v>10462.026</v>
      </c>
    </row>
    <row r="197" spans="1:8" ht="47.25">
      <c r="A197" s="372" t="s">
        <v>867</v>
      </c>
      <c r="B197" s="372" t="s">
        <v>5</v>
      </c>
      <c r="C197" s="372" t="s">
        <v>198</v>
      </c>
      <c r="D197" s="372" t="s">
        <v>990</v>
      </c>
      <c r="E197" s="373"/>
      <c r="F197" s="197">
        <v>1030</v>
      </c>
      <c r="G197" s="197">
        <v>1030</v>
      </c>
      <c r="H197" s="197">
        <v>1030</v>
      </c>
    </row>
    <row r="198" spans="1:8" ht="47.25">
      <c r="A198" s="372" t="s">
        <v>547</v>
      </c>
      <c r="B198" s="372" t="s">
        <v>5</v>
      </c>
      <c r="C198" s="372" t="s">
        <v>198</v>
      </c>
      <c r="D198" s="372" t="s">
        <v>990</v>
      </c>
      <c r="E198" s="372" t="s">
        <v>268</v>
      </c>
      <c r="F198" s="197">
        <v>1030</v>
      </c>
      <c r="G198" s="197">
        <v>1030</v>
      </c>
      <c r="H198" s="197">
        <v>1030</v>
      </c>
    </row>
    <row r="199" spans="1:8" ht="47.25">
      <c r="A199" s="372" t="s">
        <v>1192</v>
      </c>
      <c r="B199" s="372" t="s">
        <v>5</v>
      </c>
      <c r="C199" s="372" t="s">
        <v>198</v>
      </c>
      <c r="D199" s="372" t="s">
        <v>1200</v>
      </c>
      <c r="E199" s="373"/>
      <c r="F199" s="197">
        <v>30</v>
      </c>
      <c r="G199" s="197">
        <v>0</v>
      </c>
      <c r="H199" s="197">
        <v>0</v>
      </c>
    </row>
    <row r="200" spans="1:8" ht="47.25">
      <c r="A200" s="372" t="s">
        <v>547</v>
      </c>
      <c r="B200" s="372" t="s">
        <v>5</v>
      </c>
      <c r="C200" s="372" t="s">
        <v>198</v>
      </c>
      <c r="D200" s="372" t="s">
        <v>1200</v>
      </c>
      <c r="E200" s="372" t="s">
        <v>268</v>
      </c>
      <c r="F200" s="197">
        <v>30</v>
      </c>
      <c r="G200" s="197">
        <v>0</v>
      </c>
      <c r="H200" s="197">
        <v>0</v>
      </c>
    </row>
    <row r="201" spans="1:8" ht="47.25">
      <c r="A201" s="372" t="s">
        <v>991</v>
      </c>
      <c r="B201" s="372" t="s">
        <v>5</v>
      </c>
      <c r="C201" s="372" t="s">
        <v>198</v>
      </c>
      <c r="D201" s="372" t="s">
        <v>885</v>
      </c>
      <c r="E201" s="373"/>
      <c r="F201" s="197">
        <v>9439.5002000000004</v>
      </c>
      <c r="G201" s="197">
        <v>9432.0259999999998</v>
      </c>
      <c r="H201" s="197">
        <v>9432.0259999999998</v>
      </c>
    </row>
    <row r="202" spans="1:8" ht="47.25">
      <c r="A202" s="372" t="s">
        <v>547</v>
      </c>
      <c r="B202" s="372" t="s">
        <v>5</v>
      </c>
      <c r="C202" s="372" t="s">
        <v>198</v>
      </c>
      <c r="D202" s="372" t="s">
        <v>885</v>
      </c>
      <c r="E202" s="372" t="s">
        <v>268</v>
      </c>
      <c r="F202" s="197">
        <v>9439.5002000000004</v>
      </c>
      <c r="G202" s="197">
        <v>9432.0259999999998</v>
      </c>
      <c r="H202" s="197">
        <v>9432.0259999999998</v>
      </c>
    </row>
    <row r="203" spans="1:8" ht="78.75">
      <c r="A203" s="372" t="s">
        <v>978</v>
      </c>
      <c r="B203" s="373"/>
      <c r="C203" s="373"/>
      <c r="D203" s="372" t="s">
        <v>992</v>
      </c>
      <c r="E203" s="373"/>
      <c r="F203" s="197">
        <v>2868.1239999999998</v>
      </c>
      <c r="G203" s="197">
        <v>2861.1239999999998</v>
      </c>
      <c r="H203" s="197">
        <v>2861.1239999999998</v>
      </c>
    </row>
    <row r="204" spans="1:8" ht="78.75">
      <c r="A204" s="372" t="s">
        <v>960</v>
      </c>
      <c r="B204" s="373"/>
      <c r="C204" s="373"/>
      <c r="D204" s="372" t="s">
        <v>993</v>
      </c>
      <c r="E204" s="373"/>
      <c r="F204" s="197">
        <v>2868.1239999999998</v>
      </c>
      <c r="G204" s="197">
        <v>2861.1239999999998</v>
      </c>
      <c r="H204" s="197">
        <v>2861.1239999999998</v>
      </c>
    </row>
    <row r="205" spans="1:8" ht="31.5">
      <c r="A205" s="372" t="s">
        <v>665</v>
      </c>
      <c r="B205" s="372" t="s">
        <v>5</v>
      </c>
      <c r="C205" s="372" t="s">
        <v>4</v>
      </c>
      <c r="D205" s="372" t="s">
        <v>993</v>
      </c>
      <c r="E205" s="373"/>
      <c r="F205" s="197">
        <v>2868.1239999999998</v>
      </c>
      <c r="G205" s="197">
        <v>2861.1239999999998</v>
      </c>
      <c r="H205" s="197">
        <v>2861.1239999999998</v>
      </c>
    </row>
    <row r="206" spans="1:8" ht="63">
      <c r="A206" s="372" t="s">
        <v>962</v>
      </c>
      <c r="B206" s="372" t="s">
        <v>5</v>
      </c>
      <c r="C206" s="372" t="s">
        <v>4</v>
      </c>
      <c r="D206" s="372" t="s">
        <v>994</v>
      </c>
      <c r="E206" s="373"/>
      <c r="F206" s="197">
        <v>2851.1239999999998</v>
      </c>
      <c r="G206" s="197">
        <v>2844.1239999999998</v>
      </c>
      <c r="H206" s="197">
        <v>2844.1239999999998</v>
      </c>
    </row>
    <row r="207" spans="1:8" ht="110.25">
      <c r="A207" s="372" t="s">
        <v>556</v>
      </c>
      <c r="B207" s="372" t="s">
        <v>5</v>
      </c>
      <c r="C207" s="372" t="s">
        <v>4</v>
      </c>
      <c r="D207" s="372" t="s">
        <v>994</v>
      </c>
      <c r="E207" s="372" t="s">
        <v>265</v>
      </c>
      <c r="F207" s="197">
        <v>2368.3470000000002</v>
      </c>
      <c r="G207" s="197">
        <v>2368.3470000000002</v>
      </c>
      <c r="H207" s="197">
        <v>2368.3470000000002</v>
      </c>
    </row>
    <row r="208" spans="1:8" ht="47.25">
      <c r="A208" s="372" t="s">
        <v>551</v>
      </c>
      <c r="B208" s="372" t="s">
        <v>5</v>
      </c>
      <c r="C208" s="372" t="s">
        <v>4</v>
      </c>
      <c r="D208" s="372" t="s">
        <v>994</v>
      </c>
      <c r="E208" s="372" t="s">
        <v>266</v>
      </c>
      <c r="F208" s="197">
        <v>480.27699999999999</v>
      </c>
      <c r="G208" s="197">
        <v>473.27699999999999</v>
      </c>
      <c r="H208" s="197">
        <v>473.27699999999999</v>
      </c>
    </row>
    <row r="209" spans="1:8">
      <c r="A209" s="372" t="s">
        <v>558</v>
      </c>
      <c r="B209" s="372" t="s">
        <v>5</v>
      </c>
      <c r="C209" s="372" t="s">
        <v>4</v>
      </c>
      <c r="D209" s="372" t="s">
        <v>994</v>
      </c>
      <c r="E209" s="372" t="s">
        <v>267</v>
      </c>
      <c r="F209" s="197">
        <v>2.5</v>
      </c>
      <c r="G209" s="197">
        <v>2.5</v>
      </c>
      <c r="H209" s="197">
        <v>2.5</v>
      </c>
    </row>
    <row r="210" spans="1:8" ht="110.25">
      <c r="A210" s="372" t="s">
        <v>964</v>
      </c>
      <c r="B210" s="372" t="s">
        <v>5</v>
      </c>
      <c r="C210" s="372" t="s">
        <v>4</v>
      </c>
      <c r="D210" s="372" t="s">
        <v>995</v>
      </c>
      <c r="E210" s="373"/>
      <c r="F210" s="197">
        <v>17</v>
      </c>
      <c r="G210" s="197">
        <v>17</v>
      </c>
      <c r="H210" s="197">
        <v>17</v>
      </c>
    </row>
    <row r="211" spans="1:8" ht="47.25">
      <c r="A211" s="372" t="s">
        <v>551</v>
      </c>
      <c r="B211" s="372" t="s">
        <v>5</v>
      </c>
      <c r="C211" s="372" t="s">
        <v>4</v>
      </c>
      <c r="D211" s="372" t="s">
        <v>995</v>
      </c>
      <c r="E211" s="372" t="s">
        <v>266</v>
      </c>
      <c r="F211" s="197">
        <v>17</v>
      </c>
      <c r="G211" s="197">
        <v>17</v>
      </c>
      <c r="H211" s="197">
        <v>17</v>
      </c>
    </row>
    <row r="212" spans="1:8" ht="63">
      <c r="A212" s="372" t="s">
        <v>996</v>
      </c>
      <c r="B212" s="373"/>
      <c r="C212" s="373"/>
      <c r="D212" s="372" t="s">
        <v>345</v>
      </c>
      <c r="E212" s="373"/>
      <c r="F212" s="197">
        <v>13137.3845</v>
      </c>
      <c r="G212" s="197">
        <v>10565.893</v>
      </c>
      <c r="H212" s="197">
        <v>9965.9959999999992</v>
      </c>
    </row>
    <row r="213" spans="1:8" ht="47.25">
      <c r="A213" s="372" t="s">
        <v>997</v>
      </c>
      <c r="B213" s="373"/>
      <c r="C213" s="373"/>
      <c r="D213" s="372" t="s">
        <v>346</v>
      </c>
      <c r="E213" s="373"/>
      <c r="F213" s="197">
        <v>1887.4265</v>
      </c>
      <c r="G213" s="197">
        <v>1001.897</v>
      </c>
      <c r="H213" s="197">
        <v>402</v>
      </c>
    </row>
    <row r="214" spans="1:8" ht="63">
      <c r="A214" s="372" t="s">
        <v>998</v>
      </c>
      <c r="B214" s="373"/>
      <c r="C214" s="373"/>
      <c r="D214" s="372" t="s">
        <v>347</v>
      </c>
      <c r="E214" s="373"/>
      <c r="F214" s="197">
        <v>405.66649999999998</v>
      </c>
      <c r="G214" s="197">
        <v>302</v>
      </c>
      <c r="H214" s="197">
        <v>302</v>
      </c>
    </row>
    <row r="215" spans="1:8" ht="31.5">
      <c r="A215" s="372" t="s">
        <v>568</v>
      </c>
      <c r="B215" s="372" t="s">
        <v>197</v>
      </c>
      <c r="C215" s="372" t="s">
        <v>201</v>
      </c>
      <c r="D215" s="372" t="s">
        <v>347</v>
      </c>
      <c r="E215" s="373"/>
      <c r="F215" s="197">
        <v>233.66650000000001</v>
      </c>
      <c r="G215" s="197">
        <v>130</v>
      </c>
      <c r="H215" s="197">
        <v>130</v>
      </c>
    </row>
    <row r="216" spans="1:8" ht="47.25">
      <c r="A216" s="372" t="s">
        <v>1214</v>
      </c>
      <c r="B216" s="372" t="s">
        <v>197</v>
      </c>
      <c r="C216" s="372" t="s">
        <v>201</v>
      </c>
      <c r="D216" s="372" t="s">
        <v>1215</v>
      </c>
      <c r="E216" s="373"/>
      <c r="F216" s="197">
        <v>7.2</v>
      </c>
      <c r="G216" s="197">
        <v>0</v>
      </c>
      <c r="H216" s="197">
        <v>0</v>
      </c>
    </row>
    <row r="217" spans="1:8" ht="31.5">
      <c r="A217" s="372" t="s">
        <v>552</v>
      </c>
      <c r="B217" s="372" t="s">
        <v>197</v>
      </c>
      <c r="C217" s="372" t="s">
        <v>201</v>
      </c>
      <c r="D217" s="372" t="s">
        <v>1215</v>
      </c>
      <c r="E217" s="372" t="s">
        <v>271</v>
      </c>
      <c r="F217" s="197">
        <v>7.2</v>
      </c>
      <c r="G217" s="197">
        <v>0</v>
      </c>
      <c r="H217" s="197">
        <v>0</v>
      </c>
    </row>
    <row r="218" spans="1:8" ht="63">
      <c r="A218" s="372" t="s">
        <v>907</v>
      </c>
      <c r="B218" s="372" t="s">
        <v>197</v>
      </c>
      <c r="C218" s="372" t="s">
        <v>201</v>
      </c>
      <c r="D218" s="372" t="s">
        <v>999</v>
      </c>
      <c r="E218" s="373"/>
      <c r="F218" s="197">
        <v>226.4665</v>
      </c>
      <c r="G218" s="197">
        <v>130</v>
      </c>
      <c r="H218" s="197">
        <v>130</v>
      </c>
    </row>
    <row r="219" spans="1:8" ht="47.25">
      <c r="A219" s="372" t="s">
        <v>551</v>
      </c>
      <c r="B219" s="372" t="s">
        <v>197</v>
      </c>
      <c r="C219" s="372" t="s">
        <v>201</v>
      </c>
      <c r="D219" s="372" t="s">
        <v>999</v>
      </c>
      <c r="E219" s="372" t="s">
        <v>266</v>
      </c>
      <c r="F219" s="197">
        <v>226.4665</v>
      </c>
      <c r="G219" s="197">
        <v>130</v>
      </c>
      <c r="H219" s="197">
        <v>130</v>
      </c>
    </row>
    <row r="220" spans="1:8" ht="31.5">
      <c r="A220" s="372" t="s">
        <v>596</v>
      </c>
      <c r="B220" s="372" t="s">
        <v>203</v>
      </c>
      <c r="C220" s="372" t="s">
        <v>204</v>
      </c>
      <c r="D220" s="372" t="s">
        <v>347</v>
      </c>
      <c r="E220" s="373"/>
      <c r="F220" s="197">
        <v>172</v>
      </c>
      <c r="G220" s="197">
        <v>172</v>
      </c>
      <c r="H220" s="197">
        <v>172</v>
      </c>
    </row>
    <row r="221" spans="1:8" ht="47.25">
      <c r="A221" s="372" t="s">
        <v>597</v>
      </c>
      <c r="B221" s="372" t="s">
        <v>203</v>
      </c>
      <c r="C221" s="372" t="s">
        <v>204</v>
      </c>
      <c r="D221" s="372" t="s">
        <v>1000</v>
      </c>
      <c r="E221" s="373"/>
      <c r="F221" s="197">
        <v>100</v>
      </c>
      <c r="G221" s="197">
        <v>100</v>
      </c>
      <c r="H221" s="197">
        <v>100</v>
      </c>
    </row>
    <row r="222" spans="1:8" ht="31.5">
      <c r="A222" s="372" t="s">
        <v>552</v>
      </c>
      <c r="B222" s="372" t="s">
        <v>203</v>
      </c>
      <c r="C222" s="372" t="s">
        <v>204</v>
      </c>
      <c r="D222" s="372" t="s">
        <v>1000</v>
      </c>
      <c r="E222" s="372" t="s">
        <v>271</v>
      </c>
      <c r="F222" s="197">
        <v>100</v>
      </c>
      <c r="G222" s="197">
        <v>100</v>
      </c>
      <c r="H222" s="197">
        <v>100</v>
      </c>
    </row>
    <row r="223" spans="1:8" ht="31.5">
      <c r="A223" s="372" t="s">
        <v>598</v>
      </c>
      <c r="B223" s="372" t="s">
        <v>203</v>
      </c>
      <c r="C223" s="372" t="s">
        <v>204</v>
      </c>
      <c r="D223" s="372" t="s">
        <v>1001</v>
      </c>
      <c r="E223" s="373"/>
      <c r="F223" s="197">
        <v>72</v>
      </c>
      <c r="G223" s="197">
        <v>72</v>
      </c>
      <c r="H223" s="197">
        <v>72</v>
      </c>
    </row>
    <row r="224" spans="1:8" ht="31.5">
      <c r="A224" s="372" t="s">
        <v>552</v>
      </c>
      <c r="B224" s="372" t="s">
        <v>203</v>
      </c>
      <c r="C224" s="372" t="s">
        <v>204</v>
      </c>
      <c r="D224" s="372" t="s">
        <v>1001</v>
      </c>
      <c r="E224" s="372" t="s">
        <v>271</v>
      </c>
      <c r="F224" s="197">
        <v>72</v>
      </c>
      <c r="G224" s="197">
        <v>72</v>
      </c>
      <c r="H224" s="197">
        <v>72</v>
      </c>
    </row>
    <row r="225" spans="1:8" ht="47.25">
      <c r="A225" s="372" t="s">
        <v>606</v>
      </c>
      <c r="B225" s="373"/>
      <c r="C225" s="373"/>
      <c r="D225" s="372" t="s">
        <v>1002</v>
      </c>
      <c r="E225" s="373"/>
      <c r="F225" s="197">
        <v>82</v>
      </c>
      <c r="G225" s="197">
        <v>100</v>
      </c>
      <c r="H225" s="197">
        <v>100</v>
      </c>
    </row>
    <row r="226" spans="1:8">
      <c r="A226" s="372" t="s">
        <v>594</v>
      </c>
      <c r="B226" s="372" t="s">
        <v>203</v>
      </c>
      <c r="C226" s="372" t="s">
        <v>202</v>
      </c>
      <c r="D226" s="372" t="s">
        <v>1002</v>
      </c>
      <c r="E226" s="373"/>
      <c r="F226" s="197">
        <v>82</v>
      </c>
      <c r="G226" s="197">
        <v>100</v>
      </c>
      <c r="H226" s="197">
        <v>100</v>
      </c>
    </row>
    <row r="227" spans="1:8" ht="47.25">
      <c r="A227" s="372" t="s">
        <v>609</v>
      </c>
      <c r="B227" s="372" t="s">
        <v>203</v>
      </c>
      <c r="C227" s="372" t="s">
        <v>202</v>
      </c>
      <c r="D227" s="372" t="s">
        <v>1003</v>
      </c>
      <c r="E227" s="373"/>
      <c r="F227" s="197">
        <v>82</v>
      </c>
      <c r="G227" s="197">
        <v>100</v>
      </c>
      <c r="H227" s="197">
        <v>100</v>
      </c>
    </row>
    <row r="228" spans="1:8" ht="31.5">
      <c r="A228" s="372" t="s">
        <v>552</v>
      </c>
      <c r="B228" s="372" t="s">
        <v>203</v>
      </c>
      <c r="C228" s="372" t="s">
        <v>202</v>
      </c>
      <c r="D228" s="372" t="s">
        <v>1003</v>
      </c>
      <c r="E228" s="372" t="s">
        <v>271</v>
      </c>
      <c r="F228" s="197">
        <v>82</v>
      </c>
      <c r="G228" s="197">
        <v>100</v>
      </c>
      <c r="H228" s="197">
        <v>100</v>
      </c>
    </row>
    <row r="229" spans="1:8" ht="47.25">
      <c r="A229" s="372" t="s">
        <v>1407</v>
      </c>
      <c r="B229" s="373"/>
      <c r="C229" s="373"/>
      <c r="D229" s="372" t="s">
        <v>1408</v>
      </c>
      <c r="E229" s="373"/>
      <c r="F229" s="197">
        <v>1399.76</v>
      </c>
      <c r="G229" s="197">
        <v>599.89700000000005</v>
      </c>
      <c r="H229" s="197">
        <v>0</v>
      </c>
    </row>
    <row r="230" spans="1:8">
      <c r="A230" s="372" t="s">
        <v>583</v>
      </c>
      <c r="B230" s="372" t="s">
        <v>197</v>
      </c>
      <c r="C230" s="372" t="s">
        <v>197</v>
      </c>
      <c r="D230" s="372" t="s">
        <v>1408</v>
      </c>
      <c r="E230" s="373"/>
      <c r="F230" s="197">
        <v>1399.76</v>
      </c>
      <c r="G230" s="197">
        <v>599.89700000000005</v>
      </c>
      <c r="H230" s="197">
        <v>0</v>
      </c>
    </row>
    <row r="231" spans="1:8" ht="47.25">
      <c r="A231" s="372" t="s">
        <v>1409</v>
      </c>
      <c r="B231" s="372" t="s">
        <v>197</v>
      </c>
      <c r="C231" s="372" t="s">
        <v>197</v>
      </c>
      <c r="D231" s="372" t="s">
        <v>1410</v>
      </c>
      <c r="E231" s="373"/>
      <c r="F231" s="197">
        <v>1399.76</v>
      </c>
      <c r="G231" s="197">
        <v>599.89700000000005</v>
      </c>
      <c r="H231" s="197">
        <v>0</v>
      </c>
    </row>
    <row r="232" spans="1:8" ht="47.25">
      <c r="A232" s="372" t="s">
        <v>547</v>
      </c>
      <c r="B232" s="372" t="s">
        <v>197</v>
      </c>
      <c r="C232" s="372" t="s">
        <v>197</v>
      </c>
      <c r="D232" s="372" t="s">
        <v>1410</v>
      </c>
      <c r="E232" s="372" t="s">
        <v>268</v>
      </c>
      <c r="F232" s="197">
        <v>1399.76</v>
      </c>
      <c r="G232" s="197">
        <v>599.89700000000005</v>
      </c>
      <c r="H232" s="197">
        <v>0</v>
      </c>
    </row>
    <row r="233" spans="1:8">
      <c r="A233" s="372" t="s">
        <v>602</v>
      </c>
      <c r="B233" s="373"/>
      <c r="C233" s="373"/>
      <c r="D233" s="372" t="s">
        <v>348</v>
      </c>
      <c r="E233" s="373"/>
      <c r="F233" s="197">
        <v>9789.9580000000005</v>
      </c>
      <c r="G233" s="197">
        <v>8363.9959999999992</v>
      </c>
      <c r="H233" s="197">
        <v>8363.9959999999992</v>
      </c>
    </row>
    <row r="234" spans="1:8" ht="63">
      <c r="A234" s="372" t="s">
        <v>1004</v>
      </c>
      <c r="B234" s="373"/>
      <c r="C234" s="373"/>
      <c r="D234" s="372" t="s">
        <v>349</v>
      </c>
      <c r="E234" s="373"/>
      <c r="F234" s="197">
        <v>100</v>
      </c>
      <c r="G234" s="197">
        <v>100</v>
      </c>
      <c r="H234" s="197">
        <v>100</v>
      </c>
    </row>
    <row r="235" spans="1:8" ht="31.5">
      <c r="A235" s="372" t="s">
        <v>596</v>
      </c>
      <c r="B235" s="372" t="s">
        <v>203</v>
      </c>
      <c r="C235" s="372" t="s">
        <v>204</v>
      </c>
      <c r="D235" s="372" t="s">
        <v>349</v>
      </c>
      <c r="E235" s="373"/>
      <c r="F235" s="197">
        <v>100</v>
      </c>
      <c r="G235" s="197">
        <v>100</v>
      </c>
      <c r="H235" s="197">
        <v>100</v>
      </c>
    </row>
    <row r="236" spans="1:8" ht="63">
      <c r="A236" s="372" t="s">
        <v>1005</v>
      </c>
      <c r="B236" s="372" t="s">
        <v>203</v>
      </c>
      <c r="C236" s="372" t="s">
        <v>204</v>
      </c>
      <c r="D236" s="372" t="s">
        <v>1006</v>
      </c>
      <c r="E236" s="373"/>
      <c r="F236" s="197">
        <v>100</v>
      </c>
      <c r="G236" s="197">
        <v>100</v>
      </c>
      <c r="H236" s="197">
        <v>100</v>
      </c>
    </row>
    <row r="237" spans="1:8" ht="31.5">
      <c r="A237" s="372" t="s">
        <v>552</v>
      </c>
      <c r="B237" s="372" t="s">
        <v>203</v>
      </c>
      <c r="C237" s="372" t="s">
        <v>204</v>
      </c>
      <c r="D237" s="372" t="s">
        <v>1006</v>
      </c>
      <c r="E237" s="372" t="s">
        <v>271</v>
      </c>
      <c r="F237" s="197">
        <v>100</v>
      </c>
      <c r="G237" s="197">
        <v>100</v>
      </c>
      <c r="H237" s="197">
        <v>100</v>
      </c>
    </row>
    <row r="238" spans="1:8" ht="31.5">
      <c r="A238" s="372" t="s">
        <v>613</v>
      </c>
      <c r="B238" s="373"/>
      <c r="C238" s="373"/>
      <c r="D238" s="372" t="s">
        <v>1007</v>
      </c>
      <c r="E238" s="373"/>
      <c r="F238" s="197">
        <v>9689.9580000000005</v>
      </c>
      <c r="G238" s="197">
        <v>8263.9959999999992</v>
      </c>
      <c r="H238" s="197">
        <v>8263.9959999999992</v>
      </c>
    </row>
    <row r="239" spans="1:8">
      <c r="A239" s="372" t="s">
        <v>583</v>
      </c>
      <c r="B239" s="372" t="s">
        <v>197</v>
      </c>
      <c r="C239" s="372" t="s">
        <v>197</v>
      </c>
      <c r="D239" s="372" t="s">
        <v>1007</v>
      </c>
      <c r="E239" s="373"/>
      <c r="F239" s="197">
        <v>9689.9580000000005</v>
      </c>
      <c r="G239" s="197">
        <v>8263.9959999999992</v>
      </c>
      <c r="H239" s="197">
        <v>8263.9959999999992</v>
      </c>
    </row>
    <row r="240" spans="1:8" ht="47.25">
      <c r="A240" s="372" t="s">
        <v>867</v>
      </c>
      <c r="B240" s="372" t="s">
        <v>197</v>
      </c>
      <c r="C240" s="372" t="s">
        <v>197</v>
      </c>
      <c r="D240" s="372" t="s">
        <v>1008</v>
      </c>
      <c r="E240" s="373"/>
      <c r="F240" s="197">
        <v>595.73800000000006</v>
      </c>
      <c r="G240" s="197">
        <v>595.73800000000006</v>
      </c>
      <c r="H240" s="197">
        <v>595.73800000000006</v>
      </c>
    </row>
    <row r="241" spans="1:8" ht="47.25">
      <c r="A241" s="372" t="s">
        <v>547</v>
      </c>
      <c r="B241" s="372" t="s">
        <v>197</v>
      </c>
      <c r="C241" s="372" t="s">
        <v>197</v>
      </c>
      <c r="D241" s="372" t="s">
        <v>1008</v>
      </c>
      <c r="E241" s="372" t="s">
        <v>268</v>
      </c>
      <c r="F241" s="197">
        <v>595.73800000000006</v>
      </c>
      <c r="G241" s="197">
        <v>595.73800000000006</v>
      </c>
      <c r="H241" s="197">
        <v>595.73800000000006</v>
      </c>
    </row>
    <row r="242" spans="1:8" ht="78.75">
      <c r="A242" s="372" t="s">
        <v>1009</v>
      </c>
      <c r="B242" s="372" t="s">
        <v>197</v>
      </c>
      <c r="C242" s="372" t="s">
        <v>197</v>
      </c>
      <c r="D242" s="372" t="s">
        <v>1010</v>
      </c>
      <c r="E242" s="373"/>
      <c r="F242" s="197">
        <v>5011.87</v>
      </c>
      <c r="G242" s="197">
        <v>4503.9080000000004</v>
      </c>
      <c r="H242" s="197">
        <v>4503.9080000000004</v>
      </c>
    </row>
    <row r="243" spans="1:8" ht="47.25">
      <c r="A243" s="372" t="s">
        <v>547</v>
      </c>
      <c r="B243" s="372" t="s">
        <v>197</v>
      </c>
      <c r="C243" s="372" t="s">
        <v>197</v>
      </c>
      <c r="D243" s="372" t="s">
        <v>1010</v>
      </c>
      <c r="E243" s="372" t="s">
        <v>268</v>
      </c>
      <c r="F243" s="197">
        <v>5011.87</v>
      </c>
      <c r="G243" s="197">
        <v>4503.9080000000004</v>
      </c>
      <c r="H243" s="197">
        <v>4503.9080000000004</v>
      </c>
    </row>
    <row r="244" spans="1:8" ht="63">
      <c r="A244" s="372" t="s">
        <v>1179</v>
      </c>
      <c r="B244" s="372" t="s">
        <v>197</v>
      </c>
      <c r="C244" s="372" t="s">
        <v>197</v>
      </c>
      <c r="D244" s="372" t="s">
        <v>1264</v>
      </c>
      <c r="E244" s="373"/>
      <c r="F244" s="197">
        <v>790</v>
      </c>
      <c r="G244" s="197">
        <v>0</v>
      </c>
      <c r="H244" s="197">
        <v>0</v>
      </c>
    </row>
    <row r="245" spans="1:8" ht="47.25">
      <c r="A245" s="372" t="s">
        <v>547</v>
      </c>
      <c r="B245" s="372" t="s">
        <v>197</v>
      </c>
      <c r="C245" s="372" t="s">
        <v>197</v>
      </c>
      <c r="D245" s="372" t="s">
        <v>1264</v>
      </c>
      <c r="E245" s="372" t="s">
        <v>268</v>
      </c>
      <c r="F245" s="197">
        <v>790</v>
      </c>
      <c r="G245" s="197">
        <v>0</v>
      </c>
      <c r="H245" s="197">
        <v>0</v>
      </c>
    </row>
    <row r="246" spans="1:8" ht="63">
      <c r="A246" s="372" t="s">
        <v>1358</v>
      </c>
      <c r="B246" s="372" t="s">
        <v>197</v>
      </c>
      <c r="C246" s="372" t="s">
        <v>197</v>
      </c>
      <c r="D246" s="372" t="s">
        <v>1359</v>
      </c>
      <c r="E246" s="373"/>
      <c r="F246" s="197">
        <v>110</v>
      </c>
      <c r="G246" s="197">
        <v>0</v>
      </c>
      <c r="H246" s="197">
        <v>0</v>
      </c>
    </row>
    <row r="247" spans="1:8" ht="47.25">
      <c r="A247" s="372" t="s">
        <v>547</v>
      </c>
      <c r="B247" s="372" t="s">
        <v>197</v>
      </c>
      <c r="C247" s="372" t="s">
        <v>197</v>
      </c>
      <c r="D247" s="372" t="s">
        <v>1359</v>
      </c>
      <c r="E247" s="372" t="s">
        <v>268</v>
      </c>
      <c r="F247" s="197">
        <v>110</v>
      </c>
      <c r="G247" s="197">
        <v>0</v>
      </c>
      <c r="H247" s="197">
        <v>0</v>
      </c>
    </row>
    <row r="248" spans="1:8" ht="31.5">
      <c r="A248" s="372" t="s">
        <v>614</v>
      </c>
      <c r="B248" s="372" t="s">
        <v>197</v>
      </c>
      <c r="C248" s="372" t="s">
        <v>197</v>
      </c>
      <c r="D248" s="372" t="s">
        <v>1011</v>
      </c>
      <c r="E248" s="373"/>
      <c r="F248" s="197">
        <v>176.5</v>
      </c>
      <c r="G248" s="197">
        <v>158.5</v>
      </c>
      <c r="H248" s="197">
        <v>158.5</v>
      </c>
    </row>
    <row r="249" spans="1:8" ht="47.25">
      <c r="A249" s="372" t="s">
        <v>547</v>
      </c>
      <c r="B249" s="372" t="s">
        <v>197</v>
      </c>
      <c r="C249" s="372" t="s">
        <v>197</v>
      </c>
      <c r="D249" s="372" t="s">
        <v>1011</v>
      </c>
      <c r="E249" s="372" t="s">
        <v>268</v>
      </c>
      <c r="F249" s="197">
        <v>176.5</v>
      </c>
      <c r="G249" s="197">
        <v>158.5</v>
      </c>
      <c r="H249" s="197">
        <v>158.5</v>
      </c>
    </row>
    <row r="250" spans="1:8" ht="94.5">
      <c r="A250" s="372" t="s">
        <v>615</v>
      </c>
      <c r="B250" s="372" t="s">
        <v>197</v>
      </c>
      <c r="C250" s="372" t="s">
        <v>197</v>
      </c>
      <c r="D250" s="372" t="s">
        <v>1012</v>
      </c>
      <c r="E250" s="373"/>
      <c r="F250" s="197">
        <v>168</v>
      </c>
      <c r="G250" s="197">
        <v>168</v>
      </c>
      <c r="H250" s="197">
        <v>168</v>
      </c>
    </row>
    <row r="251" spans="1:8" ht="47.25">
      <c r="A251" s="372" t="s">
        <v>547</v>
      </c>
      <c r="B251" s="372" t="s">
        <v>197</v>
      </c>
      <c r="C251" s="372" t="s">
        <v>197</v>
      </c>
      <c r="D251" s="372" t="s">
        <v>1012</v>
      </c>
      <c r="E251" s="372" t="s">
        <v>268</v>
      </c>
      <c r="F251" s="197">
        <v>168</v>
      </c>
      <c r="G251" s="197">
        <v>168</v>
      </c>
      <c r="H251" s="197">
        <v>168</v>
      </c>
    </row>
    <row r="252" spans="1:8" ht="63">
      <c r="A252" s="372" t="s">
        <v>917</v>
      </c>
      <c r="B252" s="372" t="s">
        <v>197</v>
      </c>
      <c r="C252" s="372" t="s">
        <v>197</v>
      </c>
      <c r="D252" s="372" t="s">
        <v>1013</v>
      </c>
      <c r="E252" s="373"/>
      <c r="F252" s="197">
        <v>2837.85</v>
      </c>
      <c r="G252" s="197">
        <v>2837.85</v>
      </c>
      <c r="H252" s="197">
        <v>2837.85</v>
      </c>
    </row>
    <row r="253" spans="1:8" ht="47.25">
      <c r="A253" s="372" t="s">
        <v>547</v>
      </c>
      <c r="B253" s="372" t="s">
        <v>197</v>
      </c>
      <c r="C253" s="372" t="s">
        <v>197</v>
      </c>
      <c r="D253" s="372" t="s">
        <v>1013</v>
      </c>
      <c r="E253" s="372" t="s">
        <v>268</v>
      </c>
      <c r="F253" s="197">
        <v>2837.85</v>
      </c>
      <c r="G253" s="197">
        <v>2837.85</v>
      </c>
      <c r="H253" s="197">
        <v>2837.85</v>
      </c>
    </row>
    <row r="254" spans="1:8" ht="31.5">
      <c r="A254" s="372" t="s">
        <v>1014</v>
      </c>
      <c r="B254" s="373"/>
      <c r="C254" s="373"/>
      <c r="D254" s="372" t="s">
        <v>350</v>
      </c>
      <c r="E254" s="373"/>
      <c r="F254" s="197">
        <v>1460</v>
      </c>
      <c r="G254" s="197">
        <v>1200</v>
      </c>
      <c r="H254" s="197">
        <v>1200</v>
      </c>
    </row>
    <row r="255" spans="1:8" ht="31.5">
      <c r="A255" s="372" t="s">
        <v>1015</v>
      </c>
      <c r="B255" s="373"/>
      <c r="C255" s="373"/>
      <c r="D255" s="372" t="s">
        <v>351</v>
      </c>
      <c r="E255" s="373"/>
      <c r="F255" s="197">
        <v>1460</v>
      </c>
      <c r="G255" s="197">
        <v>1200</v>
      </c>
      <c r="H255" s="197">
        <v>1200</v>
      </c>
    </row>
    <row r="256" spans="1:8">
      <c r="A256" s="372" t="s">
        <v>583</v>
      </c>
      <c r="B256" s="372" t="s">
        <v>197</v>
      </c>
      <c r="C256" s="372" t="s">
        <v>197</v>
      </c>
      <c r="D256" s="372" t="s">
        <v>351</v>
      </c>
      <c r="E256" s="373"/>
      <c r="F256" s="197">
        <v>1460</v>
      </c>
      <c r="G256" s="197">
        <v>1200</v>
      </c>
      <c r="H256" s="197">
        <v>1200</v>
      </c>
    </row>
    <row r="257" spans="1:8" ht="47.25">
      <c r="A257" s="372" t="s">
        <v>600</v>
      </c>
      <c r="B257" s="372" t="s">
        <v>197</v>
      </c>
      <c r="C257" s="372" t="s">
        <v>197</v>
      </c>
      <c r="D257" s="372" t="s">
        <v>352</v>
      </c>
      <c r="E257" s="373"/>
      <c r="F257" s="197">
        <v>1200</v>
      </c>
      <c r="G257" s="197">
        <v>1200</v>
      </c>
      <c r="H257" s="197">
        <v>1200</v>
      </c>
    </row>
    <row r="258" spans="1:8" ht="47.25">
      <c r="A258" s="372" t="s">
        <v>547</v>
      </c>
      <c r="B258" s="372" t="s">
        <v>197</v>
      </c>
      <c r="C258" s="372" t="s">
        <v>197</v>
      </c>
      <c r="D258" s="372" t="s">
        <v>352</v>
      </c>
      <c r="E258" s="372" t="s">
        <v>268</v>
      </c>
      <c r="F258" s="197">
        <v>1200</v>
      </c>
      <c r="G258" s="197">
        <v>1200</v>
      </c>
      <c r="H258" s="197">
        <v>1200</v>
      </c>
    </row>
    <row r="259" spans="1:8" ht="31.5">
      <c r="A259" s="372" t="s">
        <v>1201</v>
      </c>
      <c r="B259" s="372" t="s">
        <v>197</v>
      </c>
      <c r="C259" s="372" t="s">
        <v>197</v>
      </c>
      <c r="D259" s="372" t="s">
        <v>1202</v>
      </c>
      <c r="E259" s="373"/>
      <c r="F259" s="197">
        <v>260</v>
      </c>
      <c r="G259" s="197">
        <v>0</v>
      </c>
      <c r="H259" s="197">
        <v>0</v>
      </c>
    </row>
    <row r="260" spans="1:8" ht="47.25">
      <c r="A260" s="372" t="s">
        <v>547</v>
      </c>
      <c r="B260" s="372" t="s">
        <v>197</v>
      </c>
      <c r="C260" s="372" t="s">
        <v>197</v>
      </c>
      <c r="D260" s="372" t="s">
        <v>1202</v>
      </c>
      <c r="E260" s="372" t="s">
        <v>268</v>
      </c>
      <c r="F260" s="197">
        <v>260</v>
      </c>
      <c r="G260" s="197">
        <v>0</v>
      </c>
      <c r="H260" s="197">
        <v>0</v>
      </c>
    </row>
    <row r="261" spans="1:8" ht="78.75">
      <c r="A261" s="372" t="s">
        <v>432</v>
      </c>
      <c r="B261" s="373"/>
      <c r="C261" s="373"/>
      <c r="D261" s="372" t="s">
        <v>353</v>
      </c>
      <c r="E261" s="373"/>
      <c r="F261" s="197">
        <v>106736.4452</v>
      </c>
      <c r="G261" s="197">
        <v>44205.351000000002</v>
      </c>
      <c r="H261" s="197">
        <v>43131.894</v>
      </c>
    </row>
    <row r="262" spans="1:8">
      <c r="A262" s="372" t="s">
        <v>616</v>
      </c>
      <c r="B262" s="373"/>
      <c r="C262" s="373"/>
      <c r="D262" s="372" t="s">
        <v>354</v>
      </c>
      <c r="E262" s="373"/>
      <c r="F262" s="197">
        <v>12403.828</v>
      </c>
      <c r="G262" s="197">
        <v>16037.656000000001</v>
      </c>
      <c r="H262" s="197">
        <v>14964.199000000001</v>
      </c>
    </row>
    <row r="263" spans="1:8" ht="189">
      <c r="A263" s="372" t="s">
        <v>684</v>
      </c>
      <c r="B263" s="373"/>
      <c r="C263" s="373"/>
      <c r="D263" s="372" t="s">
        <v>355</v>
      </c>
      <c r="E263" s="373"/>
      <c r="F263" s="197">
        <v>12403.828</v>
      </c>
      <c r="G263" s="197">
        <v>16037.656000000001</v>
      </c>
      <c r="H263" s="197">
        <v>14964.199000000001</v>
      </c>
    </row>
    <row r="264" spans="1:8" ht="31.5">
      <c r="A264" s="372" t="s">
        <v>577</v>
      </c>
      <c r="B264" s="372" t="s">
        <v>200</v>
      </c>
      <c r="C264" s="372" t="s">
        <v>6</v>
      </c>
      <c r="D264" s="372" t="s">
        <v>355</v>
      </c>
      <c r="E264" s="373"/>
      <c r="F264" s="197">
        <v>10</v>
      </c>
      <c r="G264" s="197">
        <v>10</v>
      </c>
      <c r="H264" s="197">
        <v>10</v>
      </c>
    </row>
    <row r="265" spans="1:8" ht="63">
      <c r="A265" s="372" t="s">
        <v>617</v>
      </c>
      <c r="B265" s="372" t="s">
        <v>200</v>
      </c>
      <c r="C265" s="372" t="s">
        <v>6</v>
      </c>
      <c r="D265" s="372" t="s">
        <v>356</v>
      </c>
      <c r="E265" s="373"/>
      <c r="F265" s="197">
        <v>10</v>
      </c>
      <c r="G265" s="197">
        <v>10</v>
      </c>
      <c r="H265" s="197">
        <v>10</v>
      </c>
    </row>
    <row r="266" spans="1:8" ht="47.25">
      <c r="A266" s="372" t="s">
        <v>551</v>
      </c>
      <c r="B266" s="372" t="s">
        <v>200</v>
      </c>
      <c r="C266" s="372" t="s">
        <v>6</v>
      </c>
      <c r="D266" s="372" t="s">
        <v>356</v>
      </c>
      <c r="E266" s="372" t="s">
        <v>266</v>
      </c>
      <c r="F266" s="197">
        <v>10</v>
      </c>
      <c r="G266" s="197">
        <v>10</v>
      </c>
      <c r="H266" s="197">
        <v>10</v>
      </c>
    </row>
    <row r="267" spans="1:8">
      <c r="A267" s="372" t="s">
        <v>595</v>
      </c>
      <c r="B267" s="372" t="s">
        <v>4</v>
      </c>
      <c r="C267" s="372" t="s">
        <v>200</v>
      </c>
      <c r="D267" s="372" t="s">
        <v>355</v>
      </c>
      <c r="E267" s="373"/>
      <c r="F267" s="197">
        <v>8100</v>
      </c>
      <c r="G267" s="197">
        <v>7440</v>
      </c>
      <c r="H267" s="197">
        <v>7440</v>
      </c>
    </row>
    <row r="268" spans="1:8" ht="94.5">
      <c r="A268" s="372" t="s">
        <v>618</v>
      </c>
      <c r="B268" s="372" t="s">
        <v>4</v>
      </c>
      <c r="C268" s="372" t="s">
        <v>200</v>
      </c>
      <c r="D268" s="372" t="s">
        <v>357</v>
      </c>
      <c r="E268" s="373"/>
      <c r="F268" s="197">
        <v>70</v>
      </c>
      <c r="G268" s="197">
        <v>70</v>
      </c>
      <c r="H268" s="197">
        <v>70</v>
      </c>
    </row>
    <row r="269" spans="1:8" ht="47.25">
      <c r="A269" s="372" t="s">
        <v>551</v>
      </c>
      <c r="B269" s="372" t="s">
        <v>4</v>
      </c>
      <c r="C269" s="372" t="s">
        <v>200</v>
      </c>
      <c r="D269" s="372" t="s">
        <v>357</v>
      </c>
      <c r="E269" s="372" t="s">
        <v>266</v>
      </c>
      <c r="F269" s="197">
        <v>70</v>
      </c>
      <c r="G269" s="197">
        <v>70</v>
      </c>
      <c r="H269" s="197">
        <v>70</v>
      </c>
    </row>
    <row r="270" spans="1:8" ht="63">
      <c r="A270" s="372" t="s">
        <v>619</v>
      </c>
      <c r="B270" s="372" t="s">
        <v>4</v>
      </c>
      <c r="C270" s="372" t="s">
        <v>200</v>
      </c>
      <c r="D270" s="372" t="s">
        <v>358</v>
      </c>
      <c r="E270" s="373"/>
      <c r="F270" s="197">
        <v>40</v>
      </c>
      <c r="G270" s="197">
        <v>40</v>
      </c>
      <c r="H270" s="197">
        <v>40</v>
      </c>
    </row>
    <row r="271" spans="1:8" ht="47.25">
      <c r="A271" s="372" t="s">
        <v>551</v>
      </c>
      <c r="B271" s="372" t="s">
        <v>4</v>
      </c>
      <c r="C271" s="372" t="s">
        <v>200</v>
      </c>
      <c r="D271" s="372" t="s">
        <v>358</v>
      </c>
      <c r="E271" s="372" t="s">
        <v>266</v>
      </c>
      <c r="F271" s="197">
        <v>40</v>
      </c>
      <c r="G271" s="197">
        <v>40</v>
      </c>
      <c r="H271" s="197">
        <v>40</v>
      </c>
    </row>
    <row r="272" spans="1:8" ht="47.25">
      <c r="A272" s="372" t="s">
        <v>620</v>
      </c>
      <c r="B272" s="372" t="s">
        <v>4</v>
      </c>
      <c r="C272" s="372" t="s">
        <v>200</v>
      </c>
      <c r="D272" s="372" t="s">
        <v>359</v>
      </c>
      <c r="E272" s="373"/>
      <c r="F272" s="197">
        <v>5300</v>
      </c>
      <c r="G272" s="197">
        <v>5300</v>
      </c>
      <c r="H272" s="197">
        <v>5300</v>
      </c>
    </row>
    <row r="273" spans="1:8" ht="47.25">
      <c r="A273" s="372" t="s">
        <v>551</v>
      </c>
      <c r="B273" s="372" t="s">
        <v>4</v>
      </c>
      <c r="C273" s="372" t="s">
        <v>200</v>
      </c>
      <c r="D273" s="372" t="s">
        <v>359</v>
      </c>
      <c r="E273" s="372" t="s">
        <v>266</v>
      </c>
      <c r="F273" s="197">
        <v>5300</v>
      </c>
      <c r="G273" s="197">
        <v>5300</v>
      </c>
      <c r="H273" s="197">
        <v>5300</v>
      </c>
    </row>
    <row r="274" spans="1:8" ht="31.5">
      <c r="A274" s="372" t="s">
        <v>621</v>
      </c>
      <c r="B274" s="372" t="s">
        <v>4</v>
      </c>
      <c r="C274" s="372" t="s">
        <v>200</v>
      </c>
      <c r="D274" s="372" t="s">
        <v>360</v>
      </c>
      <c r="E274" s="373"/>
      <c r="F274" s="197">
        <v>400</v>
      </c>
      <c r="G274" s="197">
        <v>400</v>
      </c>
      <c r="H274" s="197">
        <v>400</v>
      </c>
    </row>
    <row r="275" spans="1:8" ht="47.25">
      <c r="A275" s="372" t="s">
        <v>551</v>
      </c>
      <c r="B275" s="372" t="s">
        <v>4</v>
      </c>
      <c r="C275" s="372" t="s">
        <v>200</v>
      </c>
      <c r="D275" s="372" t="s">
        <v>360</v>
      </c>
      <c r="E275" s="372" t="s">
        <v>266</v>
      </c>
      <c r="F275" s="197">
        <v>400</v>
      </c>
      <c r="G275" s="197">
        <v>400</v>
      </c>
      <c r="H275" s="197">
        <v>400</v>
      </c>
    </row>
    <row r="276" spans="1:8" ht="63">
      <c r="A276" s="372" t="s">
        <v>622</v>
      </c>
      <c r="B276" s="372" t="s">
        <v>4</v>
      </c>
      <c r="C276" s="372" t="s">
        <v>200</v>
      </c>
      <c r="D276" s="372" t="s">
        <v>361</v>
      </c>
      <c r="E276" s="373"/>
      <c r="F276" s="197">
        <v>550</v>
      </c>
      <c r="G276" s="197">
        <v>550</v>
      </c>
      <c r="H276" s="197">
        <v>550</v>
      </c>
    </row>
    <row r="277" spans="1:8" ht="47.25">
      <c r="A277" s="372" t="s">
        <v>551</v>
      </c>
      <c r="B277" s="372" t="s">
        <v>4</v>
      </c>
      <c r="C277" s="372" t="s">
        <v>200</v>
      </c>
      <c r="D277" s="372" t="s">
        <v>361</v>
      </c>
      <c r="E277" s="372" t="s">
        <v>266</v>
      </c>
      <c r="F277" s="197">
        <v>550</v>
      </c>
      <c r="G277" s="197">
        <v>550</v>
      </c>
      <c r="H277" s="197">
        <v>550</v>
      </c>
    </row>
    <row r="278" spans="1:8" ht="78.75">
      <c r="A278" s="372" t="s">
        <v>623</v>
      </c>
      <c r="B278" s="372" t="s">
        <v>4</v>
      </c>
      <c r="C278" s="372" t="s">
        <v>200</v>
      </c>
      <c r="D278" s="372" t="s">
        <v>362</v>
      </c>
      <c r="E278" s="373"/>
      <c r="F278" s="197">
        <v>80</v>
      </c>
      <c r="G278" s="197">
        <v>80</v>
      </c>
      <c r="H278" s="197">
        <v>80</v>
      </c>
    </row>
    <row r="279" spans="1:8" ht="47.25">
      <c r="A279" s="372" t="s">
        <v>551</v>
      </c>
      <c r="B279" s="372" t="s">
        <v>4</v>
      </c>
      <c r="C279" s="372" t="s">
        <v>200</v>
      </c>
      <c r="D279" s="372" t="s">
        <v>362</v>
      </c>
      <c r="E279" s="372" t="s">
        <v>266</v>
      </c>
      <c r="F279" s="197">
        <v>80</v>
      </c>
      <c r="G279" s="197">
        <v>80</v>
      </c>
      <c r="H279" s="197">
        <v>80</v>
      </c>
    </row>
    <row r="280" spans="1:8" ht="47.25">
      <c r="A280" s="372" t="s">
        <v>624</v>
      </c>
      <c r="B280" s="372" t="s">
        <v>4</v>
      </c>
      <c r="C280" s="372" t="s">
        <v>200</v>
      </c>
      <c r="D280" s="372" t="s">
        <v>363</v>
      </c>
      <c r="E280" s="373"/>
      <c r="F280" s="197">
        <v>60</v>
      </c>
      <c r="G280" s="197">
        <v>1000</v>
      </c>
      <c r="H280" s="197">
        <v>1000</v>
      </c>
    </row>
    <row r="281" spans="1:8">
      <c r="A281" s="372" t="s">
        <v>558</v>
      </c>
      <c r="B281" s="372" t="s">
        <v>4</v>
      </c>
      <c r="C281" s="372" t="s">
        <v>200</v>
      </c>
      <c r="D281" s="372" t="s">
        <v>363</v>
      </c>
      <c r="E281" s="372" t="s">
        <v>267</v>
      </c>
      <c r="F281" s="197">
        <v>60</v>
      </c>
      <c r="G281" s="197">
        <v>1000</v>
      </c>
      <c r="H281" s="197">
        <v>1000</v>
      </c>
    </row>
    <row r="282" spans="1:8" ht="78.75">
      <c r="A282" s="372" t="s">
        <v>1203</v>
      </c>
      <c r="B282" s="372" t="s">
        <v>4</v>
      </c>
      <c r="C282" s="372" t="s">
        <v>200</v>
      </c>
      <c r="D282" s="372" t="s">
        <v>1204</v>
      </c>
      <c r="E282" s="373"/>
      <c r="F282" s="197">
        <v>200</v>
      </c>
      <c r="G282" s="197">
        <v>0</v>
      </c>
      <c r="H282" s="197">
        <v>0</v>
      </c>
    </row>
    <row r="283" spans="1:8">
      <c r="A283" s="372" t="s">
        <v>558</v>
      </c>
      <c r="B283" s="372" t="s">
        <v>4</v>
      </c>
      <c r="C283" s="372" t="s">
        <v>200</v>
      </c>
      <c r="D283" s="372" t="s">
        <v>1204</v>
      </c>
      <c r="E283" s="372" t="s">
        <v>267</v>
      </c>
      <c r="F283" s="197">
        <v>200</v>
      </c>
      <c r="G283" s="197">
        <v>0</v>
      </c>
      <c r="H283" s="197">
        <v>0</v>
      </c>
    </row>
    <row r="284" spans="1:8" ht="31.5">
      <c r="A284" s="372" t="s">
        <v>1216</v>
      </c>
      <c r="B284" s="372" t="s">
        <v>4</v>
      </c>
      <c r="C284" s="372" t="s">
        <v>200</v>
      </c>
      <c r="D284" s="372" t="s">
        <v>1217</v>
      </c>
      <c r="E284" s="373"/>
      <c r="F284" s="197">
        <v>1400</v>
      </c>
      <c r="G284" s="197">
        <v>0</v>
      </c>
      <c r="H284" s="197">
        <v>0</v>
      </c>
    </row>
    <row r="285" spans="1:8">
      <c r="A285" s="372" t="s">
        <v>558</v>
      </c>
      <c r="B285" s="372" t="s">
        <v>4</v>
      </c>
      <c r="C285" s="372" t="s">
        <v>200</v>
      </c>
      <c r="D285" s="372" t="s">
        <v>1217</v>
      </c>
      <c r="E285" s="372" t="s">
        <v>267</v>
      </c>
      <c r="F285" s="197">
        <v>1400</v>
      </c>
      <c r="G285" s="197">
        <v>0</v>
      </c>
      <c r="H285" s="197">
        <v>0</v>
      </c>
    </row>
    <row r="286" spans="1:8">
      <c r="A286" s="372" t="s">
        <v>549</v>
      </c>
      <c r="B286" s="372" t="s">
        <v>203</v>
      </c>
      <c r="C286" s="372" t="s">
        <v>195</v>
      </c>
      <c r="D286" s="372" t="s">
        <v>355</v>
      </c>
      <c r="E286" s="373"/>
      <c r="F286" s="197">
        <v>4293.8280000000004</v>
      </c>
      <c r="G286" s="197">
        <v>8587.6560000000009</v>
      </c>
      <c r="H286" s="197">
        <v>7514.1989999999996</v>
      </c>
    </row>
    <row r="287" spans="1:8" ht="94.5">
      <c r="A287" s="372" t="s">
        <v>604</v>
      </c>
      <c r="B287" s="372" t="s">
        <v>203</v>
      </c>
      <c r="C287" s="372" t="s">
        <v>195</v>
      </c>
      <c r="D287" s="372" t="s">
        <v>1016</v>
      </c>
      <c r="E287" s="373"/>
      <c r="F287" s="197">
        <v>4293.8280000000004</v>
      </c>
      <c r="G287" s="197">
        <v>8587.6560000000009</v>
      </c>
      <c r="H287" s="197">
        <v>7514.1989999999996</v>
      </c>
    </row>
    <row r="288" spans="1:8" ht="47.25">
      <c r="A288" s="372" t="s">
        <v>605</v>
      </c>
      <c r="B288" s="372" t="s">
        <v>203</v>
      </c>
      <c r="C288" s="372" t="s">
        <v>195</v>
      </c>
      <c r="D288" s="372" t="s">
        <v>1016</v>
      </c>
      <c r="E288" s="372" t="s">
        <v>270</v>
      </c>
      <c r="F288" s="197">
        <v>4293.8280000000004</v>
      </c>
      <c r="G288" s="197">
        <v>8587.6560000000009</v>
      </c>
      <c r="H288" s="197">
        <v>7514.1989999999996</v>
      </c>
    </row>
    <row r="289" spans="1:8" ht="63">
      <c r="A289" s="372" t="s">
        <v>625</v>
      </c>
      <c r="B289" s="373"/>
      <c r="C289" s="373"/>
      <c r="D289" s="372" t="s">
        <v>462</v>
      </c>
      <c r="E289" s="373"/>
      <c r="F289" s="197">
        <v>2486.4416000000001</v>
      </c>
      <c r="G289" s="197">
        <v>125</v>
      </c>
      <c r="H289" s="197">
        <v>125</v>
      </c>
    </row>
    <row r="290" spans="1:8" ht="63">
      <c r="A290" s="372" t="s">
        <v>626</v>
      </c>
      <c r="B290" s="373"/>
      <c r="C290" s="373"/>
      <c r="D290" s="372" t="s">
        <v>463</v>
      </c>
      <c r="E290" s="373"/>
      <c r="F290" s="197">
        <v>2486.4416000000001</v>
      </c>
      <c r="G290" s="197">
        <v>125</v>
      </c>
      <c r="H290" s="197">
        <v>125</v>
      </c>
    </row>
    <row r="291" spans="1:8">
      <c r="A291" s="372" t="s">
        <v>594</v>
      </c>
      <c r="B291" s="372" t="s">
        <v>203</v>
      </c>
      <c r="C291" s="372" t="s">
        <v>202</v>
      </c>
      <c r="D291" s="372" t="s">
        <v>463</v>
      </c>
      <c r="E291" s="373"/>
      <c r="F291" s="197">
        <v>2486.4416000000001</v>
      </c>
      <c r="G291" s="197">
        <v>125</v>
      </c>
      <c r="H291" s="197">
        <v>125</v>
      </c>
    </row>
    <row r="292" spans="1:8" ht="126">
      <c r="A292" s="372" t="s">
        <v>1017</v>
      </c>
      <c r="B292" s="372" t="s">
        <v>203</v>
      </c>
      <c r="C292" s="372" t="s">
        <v>202</v>
      </c>
      <c r="D292" s="372" t="s">
        <v>887</v>
      </c>
      <c r="E292" s="373"/>
      <c r="F292" s="197">
        <v>2486.4416000000001</v>
      </c>
      <c r="G292" s="197">
        <v>125</v>
      </c>
      <c r="H292" s="197">
        <v>125</v>
      </c>
    </row>
    <row r="293" spans="1:8" ht="31.5">
      <c r="A293" s="372" t="s">
        <v>552</v>
      </c>
      <c r="B293" s="372" t="s">
        <v>203</v>
      </c>
      <c r="C293" s="372" t="s">
        <v>202</v>
      </c>
      <c r="D293" s="372" t="s">
        <v>887</v>
      </c>
      <c r="E293" s="372" t="s">
        <v>271</v>
      </c>
      <c r="F293" s="197">
        <v>2486.4416000000001</v>
      </c>
      <c r="G293" s="197">
        <v>125</v>
      </c>
      <c r="H293" s="197">
        <v>125</v>
      </c>
    </row>
    <row r="294" spans="1:8" ht="31.5">
      <c r="A294" s="372" t="s">
        <v>627</v>
      </c>
      <c r="B294" s="373"/>
      <c r="C294" s="373"/>
      <c r="D294" s="372" t="s">
        <v>454</v>
      </c>
      <c r="E294" s="373"/>
      <c r="F294" s="197">
        <v>41355.695</v>
      </c>
      <c r="G294" s="197">
        <v>27718.695</v>
      </c>
      <c r="H294" s="197">
        <v>27718.695</v>
      </c>
    </row>
    <row r="295" spans="1:8" ht="47.25">
      <c r="A295" s="372" t="s">
        <v>1018</v>
      </c>
      <c r="B295" s="373"/>
      <c r="C295" s="373"/>
      <c r="D295" s="372" t="s">
        <v>455</v>
      </c>
      <c r="E295" s="373"/>
      <c r="F295" s="197">
        <v>41355.695</v>
      </c>
      <c r="G295" s="197">
        <v>27718.695</v>
      </c>
      <c r="H295" s="197">
        <v>27718.695</v>
      </c>
    </row>
    <row r="296" spans="1:8">
      <c r="A296" s="372" t="s">
        <v>1166</v>
      </c>
      <c r="B296" s="372" t="s">
        <v>4</v>
      </c>
      <c r="C296" s="372" t="s">
        <v>198</v>
      </c>
      <c r="D296" s="372" t="s">
        <v>455</v>
      </c>
      <c r="E296" s="373"/>
      <c r="F296" s="197">
        <v>4340</v>
      </c>
      <c r="G296" s="197">
        <v>0</v>
      </c>
      <c r="H296" s="197">
        <v>0</v>
      </c>
    </row>
    <row r="297" spans="1:8" ht="47.25">
      <c r="A297" s="372" t="s">
        <v>1167</v>
      </c>
      <c r="B297" s="372" t="s">
        <v>4</v>
      </c>
      <c r="C297" s="372" t="s">
        <v>198</v>
      </c>
      <c r="D297" s="372" t="s">
        <v>1168</v>
      </c>
      <c r="E297" s="373"/>
      <c r="F297" s="197">
        <v>4310</v>
      </c>
      <c r="G297" s="197">
        <v>0</v>
      </c>
      <c r="H297" s="197">
        <v>0</v>
      </c>
    </row>
    <row r="298" spans="1:8" ht="47.25">
      <c r="A298" s="372" t="s">
        <v>551</v>
      </c>
      <c r="B298" s="372" t="s">
        <v>4</v>
      </c>
      <c r="C298" s="372" t="s">
        <v>198</v>
      </c>
      <c r="D298" s="372" t="s">
        <v>1168</v>
      </c>
      <c r="E298" s="372" t="s">
        <v>266</v>
      </c>
      <c r="F298" s="197">
        <v>200</v>
      </c>
      <c r="G298" s="197">
        <v>0</v>
      </c>
      <c r="H298" s="197">
        <v>0</v>
      </c>
    </row>
    <row r="299" spans="1:8" ht="47.25">
      <c r="A299" s="372" t="s">
        <v>605</v>
      </c>
      <c r="B299" s="372" t="s">
        <v>4</v>
      </c>
      <c r="C299" s="372" t="s">
        <v>198</v>
      </c>
      <c r="D299" s="372" t="s">
        <v>1168</v>
      </c>
      <c r="E299" s="372" t="s">
        <v>270</v>
      </c>
      <c r="F299" s="197">
        <v>4110</v>
      </c>
      <c r="G299" s="197">
        <v>0</v>
      </c>
      <c r="H299" s="197">
        <v>0</v>
      </c>
    </row>
    <row r="300" spans="1:8" ht="31.5">
      <c r="A300" s="372" t="s">
        <v>1218</v>
      </c>
      <c r="B300" s="372" t="s">
        <v>4</v>
      </c>
      <c r="C300" s="372" t="s">
        <v>198</v>
      </c>
      <c r="D300" s="372" t="s">
        <v>1219</v>
      </c>
      <c r="E300" s="373"/>
      <c r="F300" s="197">
        <v>30</v>
      </c>
      <c r="G300" s="197">
        <v>0</v>
      </c>
      <c r="H300" s="197">
        <v>0</v>
      </c>
    </row>
    <row r="301" spans="1:8" ht="47.25">
      <c r="A301" s="372" t="s">
        <v>551</v>
      </c>
      <c r="B301" s="372" t="s">
        <v>4</v>
      </c>
      <c r="C301" s="372" t="s">
        <v>198</v>
      </c>
      <c r="D301" s="372" t="s">
        <v>1219</v>
      </c>
      <c r="E301" s="372" t="s">
        <v>266</v>
      </c>
      <c r="F301" s="197">
        <v>30</v>
      </c>
      <c r="G301" s="197">
        <v>0</v>
      </c>
      <c r="H301" s="197">
        <v>0</v>
      </c>
    </row>
    <row r="302" spans="1:8">
      <c r="A302" s="372" t="s">
        <v>645</v>
      </c>
      <c r="B302" s="372" t="s">
        <v>4</v>
      </c>
      <c r="C302" s="372" t="s">
        <v>202</v>
      </c>
      <c r="D302" s="372" t="s">
        <v>455</v>
      </c>
      <c r="E302" s="373"/>
      <c r="F302" s="197">
        <v>37015.695</v>
      </c>
      <c r="G302" s="197">
        <v>27718.695</v>
      </c>
      <c r="H302" s="197">
        <v>27718.695</v>
      </c>
    </row>
    <row r="303" spans="1:8" ht="47.25">
      <c r="A303" s="372" t="s">
        <v>867</v>
      </c>
      <c r="B303" s="372" t="s">
        <v>4</v>
      </c>
      <c r="C303" s="372" t="s">
        <v>202</v>
      </c>
      <c r="D303" s="372" t="s">
        <v>1019</v>
      </c>
      <c r="E303" s="373"/>
      <c r="F303" s="197">
        <v>22461.895</v>
      </c>
      <c r="G303" s="197">
        <v>22461.895</v>
      </c>
      <c r="H303" s="197">
        <v>22461.895</v>
      </c>
    </row>
    <row r="304" spans="1:8" ht="47.25">
      <c r="A304" s="372" t="s">
        <v>547</v>
      </c>
      <c r="B304" s="372" t="s">
        <v>4</v>
      </c>
      <c r="C304" s="372" t="s">
        <v>202</v>
      </c>
      <c r="D304" s="372" t="s">
        <v>1019</v>
      </c>
      <c r="E304" s="372" t="s">
        <v>268</v>
      </c>
      <c r="F304" s="197">
        <v>22461.895</v>
      </c>
      <c r="G304" s="197">
        <v>22461.895</v>
      </c>
      <c r="H304" s="197">
        <v>22461.895</v>
      </c>
    </row>
    <row r="305" spans="1:8" ht="31.5">
      <c r="A305" s="372" t="s">
        <v>646</v>
      </c>
      <c r="B305" s="372" t="s">
        <v>4</v>
      </c>
      <c r="C305" s="372" t="s">
        <v>202</v>
      </c>
      <c r="D305" s="372" t="s">
        <v>1020</v>
      </c>
      <c r="E305" s="373"/>
      <c r="F305" s="197">
        <v>5256.8</v>
      </c>
      <c r="G305" s="197">
        <v>5256.8</v>
      </c>
      <c r="H305" s="197">
        <v>5256.8</v>
      </c>
    </row>
    <row r="306" spans="1:8" ht="47.25">
      <c r="A306" s="372" t="s">
        <v>547</v>
      </c>
      <c r="B306" s="372" t="s">
        <v>4</v>
      </c>
      <c r="C306" s="372" t="s">
        <v>202</v>
      </c>
      <c r="D306" s="372" t="s">
        <v>1020</v>
      </c>
      <c r="E306" s="372" t="s">
        <v>268</v>
      </c>
      <c r="F306" s="197">
        <v>5256.8</v>
      </c>
      <c r="G306" s="197">
        <v>5256.8</v>
      </c>
      <c r="H306" s="197">
        <v>5256.8</v>
      </c>
    </row>
    <row r="307" spans="1:8" ht="47.25">
      <c r="A307" s="372" t="s">
        <v>1167</v>
      </c>
      <c r="B307" s="372" t="s">
        <v>4</v>
      </c>
      <c r="C307" s="372" t="s">
        <v>202</v>
      </c>
      <c r="D307" s="372" t="s">
        <v>1168</v>
      </c>
      <c r="E307" s="373"/>
      <c r="F307" s="197">
        <v>8780</v>
      </c>
      <c r="G307" s="197">
        <v>0</v>
      </c>
      <c r="H307" s="197">
        <v>0</v>
      </c>
    </row>
    <row r="308" spans="1:8" ht="47.25">
      <c r="A308" s="372" t="s">
        <v>551</v>
      </c>
      <c r="B308" s="372" t="s">
        <v>4</v>
      </c>
      <c r="C308" s="372" t="s">
        <v>202</v>
      </c>
      <c r="D308" s="372" t="s">
        <v>1168</v>
      </c>
      <c r="E308" s="372" t="s">
        <v>266</v>
      </c>
      <c r="F308" s="197">
        <v>600</v>
      </c>
      <c r="G308" s="197">
        <v>0</v>
      </c>
      <c r="H308" s="197">
        <v>0</v>
      </c>
    </row>
    <row r="309" spans="1:8" ht="47.25">
      <c r="A309" s="372" t="s">
        <v>605</v>
      </c>
      <c r="B309" s="372" t="s">
        <v>4</v>
      </c>
      <c r="C309" s="372" t="s">
        <v>202</v>
      </c>
      <c r="D309" s="372" t="s">
        <v>1168</v>
      </c>
      <c r="E309" s="372" t="s">
        <v>270</v>
      </c>
      <c r="F309" s="197">
        <v>8180</v>
      </c>
      <c r="G309" s="197">
        <v>0</v>
      </c>
      <c r="H309" s="197">
        <v>0</v>
      </c>
    </row>
    <row r="310" spans="1:8" ht="31.5">
      <c r="A310" s="372" t="s">
        <v>852</v>
      </c>
      <c r="B310" s="372" t="s">
        <v>4</v>
      </c>
      <c r="C310" s="372" t="s">
        <v>202</v>
      </c>
      <c r="D310" s="372" t="s">
        <v>1021</v>
      </c>
      <c r="E310" s="373"/>
      <c r="F310" s="197">
        <v>517</v>
      </c>
      <c r="G310" s="197">
        <v>0</v>
      </c>
      <c r="H310" s="197">
        <v>0</v>
      </c>
    </row>
    <row r="311" spans="1:8" ht="47.25">
      <c r="A311" s="372" t="s">
        <v>547</v>
      </c>
      <c r="B311" s="372" t="s">
        <v>4</v>
      </c>
      <c r="C311" s="372" t="s">
        <v>202</v>
      </c>
      <c r="D311" s="372" t="s">
        <v>1021</v>
      </c>
      <c r="E311" s="372" t="s">
        <v>268</v>
      </c>
      <c r="F311" s="197">
        <v>517</v>
      </c>
      <c r="G311" s="197">
        <v>0</v>
      </c>
      <c r="H311" s="197">
        <v>0</v>
      </c>
    </row>
    <row r="312" spans="1:8" ht="31.5">
      <c r="A312" s="372" t="s">
        <v>1022</v>
      </c>
      <c r="B312" s="373"/>
      <c r="C312" s="373"/>
      <c r="D312" s="372" t="s">
        <v>1023</v>
      </c>
      <c r="E312" s="373"/>
      <c r="F312" s="197">
        <v>8313.3791999999994</v>
      </c>
      <c r="G312" s="197">
        <v>324</v>
      </c>
      <c r="H312" s="197">
        <v>324</v>
      </c>
    </row>
    <row r="313" spans="1:8" ht="47.25">
      <c r="A313" s="372" t="s">
        <v>593</v>
      </c>
      <c r="B313" s="373"/>
      <c r="C313" s="373"/>
      <c r="D313" s="372" t="s">
        <v>1024</v>
      </c>
      <c r="E313" s="373"/>
      <c r="F313" s="197">
        <v>8313.3791999999994</v>
      </c>
      <c r="G313" s="197">
        <v>324</v>
      </c>
      <c r="H313" s="197">
        <v>324</v>
      </c>
    </row>
    <row r="314" spans="1:8">
      <c r="A314" s="372" t="s">
        <v>594</v>
      </c>
      <c r="B314" s="372" t="s">
        <v>203</v>
      </c>
      <c r="C314" s="372" t="s">
        <v>202</v>
      </c>
      <c r="D314" s="372" t="s">
        <v>1024</v>
      </c>
      <c r="E314" s="373"/>
      <c r="F314" s="197">
        <v>8313.3791999999994</v>
      </c>
      <c r="G314" s="197">
        <v>324</v>
      </c>
      <c r="H314" s="197">
        <v>324</v>
      </c>
    </row>
    <row r="315" spans="1:8" ht="63">
      <c r="A315" s="372" t="s">
        <v>886</v>
      </c>
      <c r="B315" s="372" t="s">
        <v>203</v>
      </c>
      <c r="C315" s="372" t="s">
        <v>202</v>
      </c>
      <c r="D315" s="372" t="s">
        <v>1025</v>
      </c>
      <c r="E315" s="373"/>
      <c r="F315" s="197">
        <v>8313.3791999999994</v>
      </c>
      <c r="G315" s="197">
        <v>324</v>
      </c>
      <c r="H315" s="197">
        <v>324</v>
      </c>
    </row>
    <row r="316" spans="1:8" ht="31.5">
      <c r="A316" s="372" t="s">
        <v>552</v>
      </c>
      <c r="B316" s="372" t="s">
        <v>203</v>
      </c>
      <c r="C316" s="372" t="s">
        <v>202</v>
      </c>
      <c r="D316" s="372" t="s">
        <v>1025</v>
      </c>
      <c r="E316" s="372" t="s">
        <v>271</v>
      </c>
      <c r="F316" s="197">
        <v>8313.3791999999994</v>
      </c>
      <c r="G316" s="197">
        <v>324</v>
      </c>
      <c r="H316" s="197">
        <v>324</v>
      </c>
    </row>
    <row r="317" spans="1:8" ht="31.5">
      <c r="A317" s="372" t="s">
        <v>1505</v>
      </c>
      <c r="B317" s="373"/>
      <c r="C317" s="373"/>
      <c r="D317" s="372" t="s">
        <v>1506</v>
      </c>
      <c r="E317" s="373"/>
      <c r="F317" s="197">
        <v>42177.1014</v>
      </c>
      <c r="G317" s="197">
        <v>0</v>
      </c>
      <c r="H317" s="197">
        <v>0</v>
      </c>
    </row>
    <row r="318" spans="1:8" ht="63">
      <c r="A318" s="372" t="s">
        <v>1507</v>
      </c>
      <c r="B318" s="373"/>
      <c r="C318" s="373"/>
      <c r="D318" s="372" t="s">
        <v>1508</v>
      </c>
      <c r="E318" s="373"/>
      <c r="F318" s="197">
        <v>42177.1014</v>
      </c>
      <c r="G318" s="197">
        <v>0</v>
      </c>
      <c r="H318" s="197">
        <v>0</v>
      </c>
    </row>
    <row r="319" spans="1:8">
      <c r="A319" s="372" t="s">
        <v>595</v>
      </c>
      <c r="B319" s="372" t="s">
        <v>4</v>
      </c>
      <c r="C319" s="372" t="s">
        <v>200</v>
      </c>
      <c r="D319" s="372" t="s">
        <v>1508</v>
      </c>
      <c r="E319" s="373"/>
      <c r="F319" s="197">
        <v>42177.1014</v>
      </c>
      <c r="G319" s="197">
        <v>0</v>
      </c>
      <c r="H319" s="197">
        <v>0</v>
      </c>
    </row>
    <row r="320" spans="1:8" ht="189">
      <c r="A320" s="372" t="s">
        <v>1509</v>
      </c>
      <c r="B320" s="372" t="s">
        <v>4</v>
      </c>
      <c r="C320" s="372" t="s">
        <v>200</v>
      </c>
      <c r="D320" s="372" t="s">
        <v>1510</v>
      </c>
      <c r="E320" s="373"/>
      <c r="F320" s="197">
        <v>41337.775999999998</v>
      </c>
      <c r="G320" s="197">
        <v>0</v>
      </c>
      <c r="H320" s="197">
        <v>0</v>
      </c>
    </row>
    <row r="321" spans="1:8" ht="47.25">
      <c r="A321" s="372" t="s">
        <v>605</v>
      </c>
      <c r="B321" s="372" t="s">
        <v>4</v>
      </c>
      <c r="C321" s="372" t="s">
        <v>200</v>
      </c>
      <c r="D321" s="372" t="s">
        <v>1510</v>
      </c>
      <c r="E321" s="372" t="s">
        <v>270</v>
      </c>
      <c r="F321" s="197">
        <v>26171.66459</v>
      </c>
      <c r="G321" s="197">
        <v>0</v>
      </c>
      <c r="H321" s="197">
        <v>0</v>
      </c>
    </row>
    <row r="322" spans="1:8">
      <c r="A322" s="372" t="s">
        <v>558</v>
      </c>
      <c r="B322" s="372" t="s">
        <v>4</v>
      </c>
      <c r="C322" s="372" t="s">
        <v>200</v>
      </c>
      <c r="D322" s="372" t="s">
        <v>1510</v>
      </c>
      <c r="E322" s="372" t="s">
        <v>267</v>
      </c>
      <c r="F322" s="197">
        <v>15166.11141</v>
      </c>
      <c r="G322" s="197">
        <v>0</v>
      </c>
      <c r="H322" s="197">
        <v>0</v>
      </c>
    </row>
    <row r="323" spans="1:8" ht="141.75">
      <c r="A323" s="372" t="s">
        <v>1511</v>
      </c>
      <c r="B323" s="372" t="s">
        <v>4</v>
      </c>
      <c r="C323" s="372" t="s">
        <v>200</v>
      </c>
      <c r="D323" s="372" t="s">
        <v>1512</v>
      </c>
      <c r="E323" s="373"/>
      <c r="F323" s="197">
        <v>839.32539999999995</v>
      </c>
      <c r="G323" s="197">
        <v>0</v>
      </c>
      <c r="H323" s="197">
        <v>0</v>
      </c>
    </row>
    <row r="324" spans="1:8" ht="47.25">
      <c r="A324" s="372" t="s">
        <v>605</v>
      </c>
      <c r="B324" s="372" t="s">
        <v>4</v>
      </c>
      <c r="C324" s="372" t="s">
        <v>200</v>
      </c>
      <c r="D324" s="372" t="s">
        <v>1512</v>
      </c>
      <c r="E324" s="372" t="s">
        <v>270</v>
      </c>
      <c r="F324" s="197">
        <v>531.39151000000004</v>
      </c>
      <c r="G324" s="197">
        <v>0</v>
      </c>
      <c r="H324" s="197">
        <v>0</v>
      </c>
    </row>
    <row r="325" spans="1:8">
      <c r="A325" s="372" t="s">
        <v>558</v>
      </c>
      <c r="B325" s="372" t="s">
        <v>4</v>
      </c>
      <c r="C325" s="372" t="s">
        <v>200</v>
      </c>
      <c r="D325" s="372" t="s">
        <v>1512</v>
      </c>
      <c r="E325" s="372" t="s">
        <v>267</v>
      </c>
      <c r="F325" s="197">
        <v>307.93389000000002</v>
      </c>
      <c r="G325" s="197">
        <v>0</v>
      </c>
      <c r="H325" s="197">
        <v>0</v>
      </c>
    </row>
    <row r="326" spans="1:8" ht="63">
      <c r="A326" s="372" t="s">
        <v>433</v>
      </c>
      <c r="B326" s="373"/>
      <c r="C326" s="373"/>
      <c r="D326" s="372" t="s">
        <v>364</v>
      </c>
      <c r="E326" s="373"/>
      <c r="F326" s="197">
        <v>123355.13967999999</v>
      </c>
      <c r="G326" s="197">
        <v>58530.520149999997</v>
      </c>
      <c r="H326" s="197">
        <v>55851.337030000002</v>
      </c>
    </row>
    <row r="327" spans="1:8" ht="94.5">
      <c r="A327" s="372" t="s">
        <v>628</v>
      </c>
      <c r="B327" s="373"/>
      <c r="C327" s="373"/>
      <c r="D327" s="372" t="s">
        <v>365</v>
      </c>
      <c r="E327" s="373"/>
      <c r="F327" s="197">
        <v>78054.233680000005</v>
      </c>
      <c r="G327" s="197">
        <v>58530.520149999997</v>
      </c>
      <c r="H327" s="197">
        <v>55851.337030000002</v>
      </c>
    </row>
    <row r="328" spans="1:8" ht="94.5">
      <c r="A328" s="372" t="s">
        <v>685</v>
      </c>
      <c r="B328" s="373"/>
      <c r="C328" s="373"/>
      <c r="D328" s="372" t="s">
        <v>366</v>
      </c>
      <c r="E328" s="373"/>
      <c r="F328" s="197">
        <v>78054.233680000005</v>
      </c>
      <c r="G328" s="197">
        <v>58530.520149999997</v>
      </c>
      <c r="H328" s="197">
        <v>55851.337030000002</v>
      </c>
    </row>
    <row r="329" spans="1:8" ht="31.5">
      <c r="A329" s="372" t="s">
        <v>629</v>
      </c>
      <c r="B329" s="372" t="s">
        <v>195</v>
      </c>
      <c r="C329" s="372" t="s">
        <v>201</v>
      </c>
      <c r="D329" s="372" t="s">
        <v>366</v>
      </c>
      <c r="E329" s="373"/>
      <c r="F329" s="197">
        <v>78054.233680000005</v>
      </c>
      <c r="G329" s="197">
        <v>58530.520149999997</v>
      </c>
      <c r="H329" s="197">
        <v>55851.337030000002</v>
      </c>
    </row>
    <row r="330" spans="1:8" ht="47.25">
      <c r="A330" s="372" t="s">
        <v>867</v>
      </c>
      <c r="B330" s="372" t="s">
        <v>195</v>
      </c>
      <c r="C330" s="372" t="s">
        <v>201</v>
      </c>
      <c r="D330" s="372" t="s">
        <v>877</v>
      </c>
      <c r="E330" s="373"/>
      <c r="F330" s="197">
        <v>4493.0529999999999</v>
      </c>
      <c r="G330" s="197">
        <v>4089.6871999999998</v>
      </c>
      <c r="H330" s="197">
        <v>4089.6871999999998</v>
      </c>
    </row>
    <row r="331" spans="1:8" ht="47.25">
      <c r="A331" s="372" t="s">
        <v>547</v>
      </c>
      <c r="B331" s="372" t="s">
        <v>195</v>
      </c>
      <c r="C331" s="372" t="s">
        <v>201</v>
      </c>
      <c r="D331" s="372" t="s">
        <v>877</v>
      </c>
      <c r="E331" s="372" t="s">
        <v>268</v>
      </c>
      <c r="F331" s="197">
        <v>4493.0529999999999</v>
      </c>
      <c r="G331" s="197">
        <v>4089.6871999999998</v>
      </c>
      <c r="H331" s="197">
        <v>4089.6871999999998</v>
      </c>
    </row>
    <row r="332" spans="1:8" ht="78.75">
      <c r="A332" s="372" t="s">
        <v>630</v>
      </c>
      <c r="B332" s="372" t="s">
        <v>195</v>
      </c>
      <c r="C332" s="372" t="s">
        <v>201</v>
      </c>
      <c r="D332" s="372" t="s">
        <v>367</v>
      </c>
      <c r="E332" s="373"/>
      <c r="F332" s="197">
        <v>64541.751109999997</v>
      </c>
      <c r="G332" s="197">
        <v>51637.59938</v>
      </c>
      <c r="H332" s="197">
        <v>48958.416259999998</v>
      </c>
    </row>
    <row r="333" spans="1:8" ht="47.25">
      <c r="A333" s="372" t="s">
        <v>547</v>
      </c>
      <c r="B333" s="372" t="s">
        <v>195</v>
      </c>
      <c r="C333" s="372" t="s">
        <v>201</v>
      </c>
      <c r="D333" s="372" t="s">
        <v>367</v>
      </c>
      <c r="E333" s="372" t="s">
        <v>268</v>
      </c>
      <c r="F333" s="197">
        <v>64541.751109999997</v>
      </c>
      <c r="G333" s="197">
        <v>51637.59938</v>
      </c>
      <c r="H333" s="197">
        <v>48958.416259999998</v>
      </c>
    </row>
    <row r="334" spans="1:8" ht="31.5">
      <c r="A334" s="372" t="s">
        <v>631</v>
      </c>
      <c r="B334" s="372" t="s">
        <v>195</v>
      </c>
      <c r="C334" s="372" t="s">
        <v>201</v>
      </c>
      <c r="D334" s="372" t="s">
        <v>437</v>
      </c>
      <c r="E334" s="373"/>
      <c r="F334" s="197">
        <v>2803.2335699999999</v>
      </c>
      <c r="G334" s="197">
        <v>2803.2335699999999</v>
      </c>
      <c r="H334" s="197">
        <v>2803.2335699999999</v>
      </c>
    </row>
    <row r="335" spans="1:8" ht="47.25">
      <c r="A335" s="372" t="s">
        <v>547</v>
      </c>
      <c r="B335" s="372" t="s">
        <v>195</v>
      </c>
      <c r="C335" s="372" t="s">
        <v>201</v>
      </c>
      <c r="D335" s="372" t="s">
        <v>437</v>
      </c>
      <c r="E335" s="372" t="s">
        <v>268</v>
      </c>
      <c r="F335" s="197">
        <v>2803.2335699999999</v>
      </c>
      <c r="G335" s="197">
        <v>2803.2335699999999</v>
      </c>
      <c r="H335" s="197">
        <v>2803.2335699999999</v>
      </c>
    </row>
    <row r="336" spans="1:8" ht="47.25">
      <c r="A336" s="372" t="s">
        <v>1167</v>
      </c>
      <c r="B336" s="372" t="s">
        <v>195</v>
      </c>
      <c r="C336" s="372" t="s">
        <v>201</v>
      </c>
      <c r="D336" s="372" t="s">
        <v>1169</v>
      </c>
      <c r="E336" s="373"/>
      <c r="F336" s="197">
        <v>626</v>
      </c>
      <c r="G336" s="197">
        <v>0</v>
      </c>
      <c r="H336" s="197">
        <v>0</v>
      </c>
    </row>
    <row r="337" spans="1:8" ht="47.25">
      <c r="A337" s="372" t="s">
        <v>547</v>
      </c>
      <c r="B337" s="372" t="s">
        <v>195</v>
      </c>
      <c r="C337" s="372" t="s">
        <v>201</v>
      </c>
      <c r="D337" s="372" t="s">
        <v>1169</v>
      </c>
      <c r="E337" s="372" t="s">
        <v>268</v>
      </c>
      <c r="F337" s="197">
        <v>626</v>
      </c>
      <c r="G337" s="197">
        <v>0</v>
      </c>
      <c r="H337" s="197">
        <v>0</v>
      </c>
    </row>
    <row r="338" spans="1:8" ht="110.25">
      <c r="A338" s="372" t="s">
        <v>924</v>
      </c>
      <c r="B338" s="372" t="s">
        <v>195</v>
      </c>
      <c r="C338" s="372" t="s">
        <v>201</v>
      </c>
      <c r="D338" s="372" t="s">
        <v>1450</v>
      </c>
      <c r="E338" s="373"/>
      <c r="F338" s="197">
        <v>5590.1959999999999</v>
      </c>
      <c r="G338" s="197">
        <v>0</v>
      </c>
      <c r="H338" s="197">
        <v>0</v>
      </c>
    </row>
    <row r="339" spans="1:8" ht="47.25">
      <c r="A339" s="372" t="s">
        <v>547</v>
      </c>
      <c r="B339" s="372" t="s">
        <v>195</v>
      </c>
      <c r="C339" s="372" t="s">
        <v>201</v>
      </c>
      <c r="D339" s="372" t="s">
        <v>1450</v>
      </c>
      <c r="E339" s="372" t="s">
        <v>268</v>
      </c>
      <c r="F339" s="197">
        <v>5590.1959999999999</v>
      </c>
      <c r="G339" s="197">
        <v>0</v>
      </c>
      <c r="H339" s="197">
        <v>0</v>
      </c>
    </row>
    <row r="340" spans="1:8" ht="94.5">
      <c r="A340" s="372" t="s">
        <v>632</v>
      </c>
      <c r="B340" s="373"/>
      <c r="C340" s="373"/>
      <c r="D340" s="372" t="s">
        <v>368</v>
      </c>
      <c r="E340" s="373"/>
      <c r="F340" s="197">
        <v>45300.906000000003</v>
      </c>
      <c r="G340" s="197">
        <v>0</v>
      </c>
      <c r="H340" s="197">
        <v>0</v>
      </c>
    </row>
    <row r="341" spans="1:8" ht="126">
      <c r="A341" s="372" t="s">
        <v>633</v>
      </c>
      <c r="B341" s="373"/>
      <c r="C341" s="373"/>
      <c r="D341" s="372" t="s">
        <v>369</v>
      </c>
      <c r="E341" s="373"/>
      <c r="F341" s="197">
        <v>45300.906000000003</v>
      </c>
      <c r="G341" s="197">
        <v>0</v>
      </c>
      <c r="H341" s="197">
        <v>0</v>
      </c>
    </row>
    <row r="342" spans="1:8" ht="31.5">
      <c r="A342" s="372" t="s">
        <v>629</v>
      </c>
      <c r="B342" s="372" t="s">
        <v>195</v>
      </c>
      <c r="C342" s="372" t="s">
        <v>201</v>
      </c>
      <c r="D342" s="372" t="s">
        <v>369</v>
      </c>
      <c r="E342" s="373"/>
      <c r="F342" s="197">
        <v>45300.906000000003</v>
      </c>
      <c r="G342" s="197">
        <v>0</v>
      </c>
      <c r="H342" s="197">
        <v>0</v>
      </c>
    </row>
    <row r="343" spans="1:8" ht="47.25">
      <c r="A343" s="372" t="s">
        <v>1167</v>
      </c>
      <c r="B343" s="372" t="s">
        <v>195</v>
      </c>
      <c r="C343" s="372" t="s">
        <v>201</v>
      </c>
      <c r="D343" s="372" t="s">
        <v>1170</v>
      </c>
      <c r="E343" s="373"/>
      <c r="F343" s="197">
        <v>3431.3679999999999</v>
      </c>
      <c r="G343" s="197">
        <v>0</v>
      </c>
      <c r="H343" s="197">
        <v>0</v>
      </c>
    </row>
    <row r="344" spans="1:8" ht="47.25">
      <c r="A344" s="372" t="s">
        <v>551</v>
      </c>
      <c r="B344" s="372" t="s">
        <v>195</v>
      </c>
      <c r="C344" s="372" t="s">
        <v>201</v>
      </c>
      <c r="D344" s="372" t="s">
        <v>1170</v>
      </c>
      <c r="E344" s="372" t="s">
        <v>266</v>
      </c>
      <c r="F344" s="197">
        <v>1137.3679999999999</v>
      </c>
      <c r="G344" s="197">
        <v>0</v>
      </c>
      <c r="H344" s="197">
        <v>0</v>
      </c>
    </row>
    <row r="345" spans="1:8" ht="47.25">
      <c r="A345" s="372" t="s">
        <v>547</v>
      </c>
      <c r="B345" s="372" t="s">
        <v>195</v>
      </c>
      <c r="C345" s="372" t="s">
        <v>201</v>
      </c>
      <c r="D345" s="372" t="s">
        <v>1170</v>
      </c>
      <c r="E345" s="372" t="s">
        <v>268</v>
      </c>
      <c r="F345" s="197">
        <v>2294</v>
      </c>
      <c r="G345" s="197">
        <v>0</v>
      </c>
      <c r="H345" s="197">
        <v>0</v>
      </c>
    </row>
    <row r="346" spans="1:8" ht="78.75">
      <c r="A346" s="372" t="s">
        <v>1381</v>
      </c>
      <c r="B346" s="372" t="s">
        <v>195</v>
      </c>
      <c r="C346" s="372" t="s">
        <v>201</v>
      </c>
      <c r="D346" s="372" t="s">
        <v>1382</v>
      </c>
      <c r="E346" s="373"/>
      <c r="F346" s="197">
        <v>7093.98</v>
      </c>
      <c r="G346" s="197">
        <v>0</v>
      </c>
      <c r="H346" s="197">
        <v>0</v>
      </c>
    </row>
    <row r="347" spans="1:8" ht="47.25">
      <c r="A347" s="372" t="s">
        <v>551</v>
      </c>
      <c r="B347" s="372" t="s">
        <v>195</v>
      </c>
      <c r="C347" s="372" t="s">
        <v>201</v>
      </c>
      <c r="D347" s="372" t="s">
        <v>1382</v>
      </c>
      <c r="E347" s="372" t="s">
        <v>266</v>
      </c>
      <c r="F347" s="197">
        <v>7093.98</v>
      </c>
      <c r="G347" s="197">
        <v>0</v>
      </c>
      <c r="H347" s="197">
        <v>0</v>
      </c>
    </row>
    <row r="348" spans="1:8" ht="110.25">
      <c r="A348" s="372" t="s">
        <v>924</v>
      </c>
      <c r="B348" s="372" t="s">
        <v>195</v>
      </c>
      <c r="C348" s="372" t="s">
        <v>201</v>
      </c>
      <c r="D348" s="372" t="s">
        <v>688</v>
      </c>
      <c r="E348" s="373"/>
      <c r="F348" s="197">
        <v>34775.557999999997</v>
      </c>
      <c r="G348" s="197">
        <v>0</v>
      </c>
      <c r="H348" s="197">
        <v>0</v>
      </c>
    </row>
    <row r="349" spans="1:8" ht="47.25">
      <c r="A349" s="372" t="s">
        <v>547</v>
      </c>
      <c r="B349" s="372" t="s">
        <v>195</v>
      </c>
      <c r="C349" s="372" t="s">
        <v>201</v>
      </c>
      <c r="D349" s="372" t="s">
        <v>688</v>
      </c>
      <c r="E349" s="372" t="s">
        <v>268</v>
      </c>
      <c r="F349" s="197">
        <v>34775.557999999997</v>
      </c>
      <c r="G349" s="197">
        <v>0</v>
      </c>
      <c r="H349" s="197">
        <v>0</v>
      </c>
    </row>
    <row r="350" spans="1:8" ht="63">
      <c r="A350" s="372" t="s">
        <v>1026</v>
      </c>
      <c r="B350" s="373"/>
      <c r="C350" s="373"/>
      <c r="D350" s="372" t="s">
        <v>370</v>
      </c>
      <c r="E350" s="373"/>
      <c r="F350" s="197">
        <v>200</v>
      </c>
      <c r="G350" s="197">
        <v>200</v>
      </c>
      <c r="H350" s="197">
        <v>200</v>
      </c>
    </row>
    <row r="351" spans="1:8" ht="78.75">
      <c r="A351" s="372" t="s">
        <v>1429</v>
      </c>
      <c r="B351" s="373"/>
      <c r="C351" s="373"/>
      <c r="D351" s="372" t="s">
        <v>370</v>
      </c>
      <c r="E351" s="373"/>
      <c r="F351" s="197">
        <v>200</v>
      </c>
      <c r="G351" s="197">
        <v>200</v>
      </c>
      <c r="H351" s="197">
        <v>200</v>
      </c>
    </row>
    <row r="352" spans="1:8" ht="63">
      <c r="A352" s="372" t="s">
        <v>1027</v>
      </c>
      <c r="B352" s="373"/>
      <c r="C352" s="373"/>
      <c r="D352" s="372" t="s">
        <v>1028</v>
      </c>
      <c r="E352" s="373"/>
      <c r="F352" s="197">
        <v>200</v>
      </c>
      <c r="G352" s="197">
        <v>200</v>
      </c>
      <c r="H352" s="197">
        <v>200</v>
      </c>
    </row>
    <row r="353" spans="1:8" ht="31.5">
      <c r="A353" s="372" t="s">
        <v>587</v>
      </c>
      <c r="B353" s="372" t="s">
        <v>195</v>
      </c>
      <c r="C353" s="372" t="s">
        <v>196</v>
      </c>
      <c r="D353" s="372" t="s">
        <v>1028</v>
      </c>
      <c r="E353" s="373"/>
      <c r="F353" s="197">
        <v>200</v>
      </c>
      <c r="G353" s="197">
        <v>200</v>
      </c>
      <c r="H353" s="197">
        <v>200</v>
      </c>
    </row>
    <row r="354" spans="1:8" ht="47.25">
      <c r="A354" s="372" t="s">
        <v>878</v>
      </c>
      <c r="B354" s="372" t="s">
        <v>195</v>
      </c>
      <c r="C354" s="372" t="s">
        <v>196</v>
      </c>
      <c r="D354" s="372" t="s">
        <v>1029</v>
      </c>
      <c r="E354" s="373"/>
      <c r="F354" s="197">
        <v>200</v>
      </c>
      <c r="G354" s="197">
        <v>200</v>
      </c>
      <c r="H354" s="197">
        <v>200</v>
      </c>
    </row>
    <row r="355" spans="1:8">
      <c r="A355" s="372" t="s">
        <v>558</v>
      </c>
      <c r="B355" s="372" t="s">
        <v>195</v>
      </c>
      <c r="C355" s="372" t="s">
        <v>196</v>
      </c>
      <c r="D355" s="372" t="s">
        <v>1029</v>
      </c>
      <c r="E355" s="372" t="s">
        <v>267</v>
      </c>
      <c r="F355" s="197">
        <v>200</v>
      </c>
      <c r="G355" s="197">
        <v>200</v>
      </c>
      <c r="H355" s="197">
        <v>200</v>
      </c>
    </row>
    <row r="356" spans="1:8" ht="78.75">
      <c r="A356" s="372" t="s">
        <v>1030</v>
      </c>
      <c r="B356" s="373"/>
      <c r="C356" s="373"/>
      <c r="D356" s="372" t="s">
        <v>371</v>
      </c>
      <c r="E356" s="373"/>
      <c r="F356" s="197">
        <v>16934.157770000002</v>
      </c>
      <c r="G356" s="197">
        <v>15486.454</v>
      </c>
      <c r="H356" s="197">
        <v>15486.454</v>
      </c>
    </row>
    <row r="357" spans="1:8" ht="63">
      <c r="A357" s="372" t="s">
        <v>634</v>
      </c>
      <c r="B357" s="373"/>
      <c r="C357" s="373"/>
      <c r="D357" s="372" t="s">
        <v>372</v>
      </c>
      <c r="E357" s="373"/>
      <c r="F357" s="197">
        <v>16609.402770000001</v>
      </c>
      <c r="G357" s="197">
        <v>15136.454</v>
      </c>
      <c r="H357" s="197">
        <v>15136.454</v>
      </c>
    </row>
    <row r="358" spans="1:8" ht="204.75">
      <c r="A358" s="372" t="s">
        <v>1031</v>
      </c>
      <c r="B358" s="373"/>
      <c r="C358" s="373"/>
      <c r="D358" s="372" t="s">
        <v>373</v>
      </c>
      <c r="E358" s="373"/>
      <c r="F358" s="197">
        <v>16609.402770000001</v>
      </c>
      <c r="G358" s="197">
        <v>15136.454</v>
      </c>
      <c r="H358" s="197">
        <v>15136.454</v>
      </c>
    </row>
    <row r="359" spans="1:8" ht="63">
      <c r="A359" s="372" t="s">
        <v>635</v>
      </c>
      <c r="B359" s="372" t="s">
        <v>202</v>
      </c>
      <c r="C359" s="372" t="s">
        <v>201</v>
      </c>
      <c r="D359" s="372" t="s">
        <v>373</v>
      </c>
      <c r="E359" s="373"/>
      <c r="F359" s="197">
        <v>16609.402770000001</v>
      </c>
      <c r="G359" s="197">
        <v>15136.454</v>
      </c>
      <c r="H359" s="197">
        <v>15136.454</v>
      </c>
    </row>
    <row r="360" spans="1:8" ht="157.5">
      <c r="A360" s="372" t="s">
        <v>1032</v>
      </c>
      <c r="B360" s="372" t="s">
        <v>202</v>
      </c>
      <c r="C360" s="372" t="s">
        <v>201</v>
      </c>
      <c r="D360" s="372" t="s">
        <v>374</v>
      </c>
      <c r="E360" s="373"/>
      <c r="F360" s="197">
        <v>16550.54277</v>
      </c>
      <c r="G360" s="197">
        <v>15077.593999999999</v>
      </c>
      <c r="H360" s="197">
        <v>15077.593999999999</v>
      </c>
    </row>
    <row r="361" spans="1:8" ht="110.25">
      <c r="A361" s="372" t="s">
        <v>556</v>
      </c>
      <c r="B361" s="372" t="s">
        <v>202</v>
      </c>
      <c r="C361" s="372" t="s">
        <v>201</v>
      </c>
      <c r="D361" s="372" t="s">
        <v>374</v>
      </c>
      <c r="E361" s="372" t="s">
        <v>265</v>
      </c>
      <c r="F361" s="197">
        <v>15072.127769999999</v>
      </c>
      <c r="G361" s="197">
        <v>13519.045</v>
      </c>
      <c r="H361" s="197">
        <v>13519.045</v>
      </c>
    </row>
    <row r="362" spans="1:8" ht="47.25">
      <c r="A362" s="372" t="s">
        <v>551</v>
      </c>
      <c r="B362" s="372" t="s">
        <v>202</v>
      </c>
      <c r="C362" s="372" t="s">
        <v>201</v>
      </c>
      <c r="D362" s="372" t="s">
        <v>374</v>
      </c>
      <c r="E362" s="372" t="s">
        <v>266</v>
      </c>
      <c r="F362" s="197">
        <v>1418.5150000000001</v>
      </c>
      <c r="G362" s="197">
        <v>1478.6489999999999</v>
      </c>
      <c r="H362" s="197">
        <v>1478.6489999999999</v>
      </c>
    </row>
    <row r="363" spans="1:8">
      <c r="A363" s="372" t="s">
        <v>558</v>
      </c>
      <c r="B363" s="372" t="s">
        <v>202</v>
      </c>
      <c r="C363" s="372" t="s">
        <v>201</v>
      </c>
      <c r="D363" s="372" t="s">
        <v>374</v>
      </c>
      <c r="E363" s="372" t="s">
        <v>267</v>
      </c>
      <c r="F363" s="197">
        <v>59.9</v>
      </c>
      <c r="G363" s="197">
        <v>79.900000000000006</v>
      </c>
      <c r="H363" s="197">
        <v>79.900000000000006</v>
      </c>
    </row>
    <row r="364" spans="1:8" ht="63">
      <c r="A364" s="372" t="s">
        <v>1033</v>
      </c>
      <c r="B364" s="372" t="s">
        <v>202</v>
      </c>
      <c r="C364" s="372" t="s">
        <v>201</v>
      </c>
      <c r="D364" s="372" t="s">
        <v>1034</v>
      </c>
      <c r="E364" s="373"/>
      <c r="F364" s="197">
        <v>58.86</v>
      </c>
      <c r="G364" s="197">
        <v>58.86</v>
      </c>
      <c r="H364" s="197">
        <v>58.86</v>
      </c>
    </row>
    <row r="365" spans="1:8" ht="47.25">
      <c r="A365" s="372" t="s">
        <v>551</v>
      </c>
      <c r="B365" s="372" t="s">
        <v>202</v>
      </c>
      <c r="C365" s="372" t="s">
        <v>201</v>
      </c>
      <c r="D365" s="372" t="s">
        <v>1034</v>
      </c>
      <c r="E365" s="372" t="s">
        <v>266</v>
      </c>
      <c r="F365" s="197">
        <v>58.86</v>
      </c>
      <c r="G365" s="197">
        <v>58.86</v>
      </c>
      <c r="H365" s="197">
        <v>58.86</v>
      </c>
    </row>
    <row r="366" spans="1:8" ht="63">
      <c r="A366" s="372" t="s">
        <v>636</v>
      </c>
      <c r="B366" s="373"/>
      <c r="C366" s="373"/>
      <c r="D366" s="372" t="s">
        <v>375</v>
      </c>
      <c r="E366" s="373"/>
      <c r="F366" s="197">
        <v>324.755</v>
      </c>
      <c r="G366" s="197">
        <v>350</v>
      </c>
      <c r="H366" s="197">
        <v>350</v>
      </c>
    </row>
    <row r="367" spans="1:8" ht="126">
      <c r="A367" s="372" t="s">
        <v>637</v>
      </c>
      <c r="B367" s="373"/>
      <c r="C367" s="373"/>
      <c r="D367" s="372" t="s">
        <v>376</v>
      </c>
      <c r="E367" s="373"/>
      <c r="F367" s="197">
        <v>324.755</v>
      </c>
      <c r="G367" s="197">
        <v>350</v>
      </c>
      <c r="H367" s="197">
        <v>350</v>
      </c>
    </row>
    <row r="368" spans="1:8" ht="63">
      <c r="A368" s="372" t="s">
        <v>635</v>
      </c>
      <c r="B368" s="372" t="s">
        <v>202</v>
      </c>
      <c r="C368" s="372" t="s">
        <v>201</v>
      </c>
      <c r="D368" s="372" t="s">
        <v>376</v>
      </c>
      <c r="E368" s="373"/>
      <c r="F368" s="197">
        <v>324.755</v>
      </c>
      <c r="G368" s="197">
        <v>350</v>
      </c>
      <c r="H368" s="197">
        <v>350</v>
      </c>
    </row>
    <row r="369" spans="1:8" ht="63">
      <c r="A369" s="372" t="s">
        <v>1035</v>
      </c>
      <c r="B369" s="372" t="s">
        <v>202</v>
      </c>
      <c r="C369" s="372" t="s">
        <v>201</v>
      </c>
      <c r="D369" s="372" t="s">
        <v>1036</v>
      </c>
      <c r="E369" s="373"/>
      <c r="F369" s="197">
        <v>324.755</v>
      </c>
      <c r="G369" s="197">
        <v>350</v>
      </c>
      <c r="H369" s="197">
        <v>350</v>
      </c>
    </row>
    <row r="370" spans="1:8" ht="47.25">
      <c r="A370" s="372" t="s">
        <v>551</v>
      </c>
      <c r="B370" s="372" t="s">
        <v>202</v>
      </c>
      <c r="C370" s="372" t="s">
        <v>201</v>
      </c>
      <c r="D370" s="372" t="s">
        <v>1036</v>
      </c>
      <c r="E370" s="372" t="s">
        <v>266</v>
      </c>
      <c r="F370" s="197">
        <v>324.755</v>
      </c>
      <c r="G370" s="197">
        <v>350</v>
      </c>
      <c r="H370" s="197">
        <v>350</v>
      </c>
    </row>
    <row r="371" spans="1:8" ht="94.5">
      <c r="A371" s="372" t="s">
        <v>1037</v>
      </c>
      <c r="B371" s="373"/>
      <c r="C371" s="373"/>
      <c r="D371" s="372" t="s">
        <v>377</v>
      </c>
      <c r="E371" s="373"/>
      <c r="F371" s="197">
        <v>1985.7</v>
      </c>
      <c r="G371" s="197">
        <v>1550</v>
      </c>
      <c r="H371" s="197">
        <v>1550</v>
      </c>
    </row>
    <row r="372" spans="1:8" ht="110.25">
      <c r="A372" s="372" t="s">
        <v>1430</v>
      </c>
      <c r="B372" s="373"/>
      <c r="C372" s="373"/>
      <c r="D372" s="372" t="s">
        <v>377</v>
      </c>
      <c r="E372" s="373"/>
      <c r="F372" s="197">
        <v>1985.7</v>
      </c>
      <c r="G372" s="197">
        <v>1550</v>
      </c>
      <c r="H372" s="197">
        <v>1550</v>
      </c>
    </row>
    <row r="373" spans="1:8" ht="47.25">
      <c r="A373" s="372" t="s">
        <v>1360</v>
      </c>
      <c r="B373" s="373"/>
      <c r="C373" s="373"/>
      <c r="D373" s="372" t="s">
        <v>1361</v>
      </c>
      <c r="E373" s="373"/>
      <c r="F373" s="197">
        <v>235.7</v>
      </c>
      <c r="G373" s="197">
        <v>0</v>
      </c>
      <c r="H373" s="197">
        <v>0</v>
      </c>
    </row>
    <row r="374" spans="1:8">
      <c r="A374" s="372" t="s">
        <v>562</v>
      </c>
      <c r="B374" s="372" t="s">
        <v>197</v>
      </c>
      <c r="C374" s="372" t="s">
        <v>202</v>
      </c>
      <c r="D374" s="372" t="s">
        <v>1361</v>
      </c>
      <c r="E374" s="373"/>
      <c r="F374" s="197">
        <v>178.2</v>
      </c>
      <c r="G374" s="197">
        <v>0</v>
      </c>
      <c r="H374" s="197">
        <v>0</v>
      </c>
    </row>
    <row r="375" spans="1:8" ht="31.5">
      <c r="A375" s="372" t="s">
        <v>1362</v>
      </c>
      <c r="B375" s="372" t="s">
        <v>197</v>
      </c>
      <c r="C375" s="372" t="s">
        <v>202</v>
      </c>
      <c r="D375" s="372" t="s">
        <v>1363</v>
      </c>
      <c r="E375" s="373"/>
      <c r="F375" s="197">
        <v>178.2</v>
      </c>
      <c r="G375" s="197">
        <v>0</v>
      </c>
      <c r="H375" s="197">
        <v>0</v>
      </c>
    </row>
    <row r="376" spans="1:8" ht="47.25">
      <c r="A376" s="372" t="s">
        <v>547</v>
      </c>
      <c r="B376" s="372" t="s">
        <v>197</v>
      </c>
      <c r="C376" s="372" t="s">
        <v>202</v>
      </c>
      <c r="D376" s="372" t="s">
        <v>1363</v>
      </c>
      <c r="E376" s="372" t="s">
        <v>268</v>
      </c>
      <c r="F376" s="197">
        <v>178.2</v>
      </c>
      <c r="G376" s="197">
        <v>0</v>
      </c>
      <c r="H376" s="197">
        <v>0</v>
      </c>
    </row>
    <row r="377" spans="1:8">
      <c r="A377" s="372" t="s">
        <v>589</v>
      </c>
      <c r="B377" s="372" t="s">
        <v>5</v>
      </c>
      <c r="C377" s="372" t="s">
        <v>198</v>
      </c>
      <c r="D377" s="372" t="s">
        <v>1361</v>
      </c>
      <c r="E377" s="373"/>
      <c r="F377" s="197">
        <v>57.5</v>
      </c>
      <c r="G377" s="197">
        <v>0</v>
      </c>
      <c r="H377" s="197">
        <v>0</v>
      </c>
    </row>
    <row r="378" spans="1:8" ht="31.5">
      <c r="A378" s="372" t="s">
        <v>1362</v>
      </c>
      <c r="B378" s="372" t="s">
        <v>5</v>
      </c>
      <c r="C378" s="372" t="s">
        <v>198</v>
      </c>
      <c r="D378" s="372" t="s">
        <v>1363</v>
      </c>
      <c r="E378" s="373"/>
      <c r="F378" s="197">
        <v>57.5</v>
      </c>
      <c r="G378" s="197">
        <v>0</v>
      </c>
      <c r="H378" s="197">
        <v>0</v>
      </c>
    </row>
    <row r="379" spans="1:8" ht="47.25">
      <c r="A379" s="372" t="s">
        <v>547</v>
      </c>
      <c r="B379" s="372" t="s">
        <v>5</v>
      </c>
      <c r="C379" s="372" t="s">
        <v>198</v>
      </c>
      <c r="D379" s="372" t="s">
        <v>1363</v>
      </c>
      <c r="E379" s="372" t="s">
        <v>268</v>
      </c>
      <c r="F379" s="197">
        <v>57.5</v>
      </c>
      <c r="G379" s="197">
        <v>0</v>
      </c>
      <c r="H379" s="197">
        <v>0</v>
      </c>
    </row>
    <row r="380" spans="1:8" ht="63">
      <c r="A380" s="372" t="s">
        <v>642</v>
      </c>
      <c r="B380" s="373"/>
      <c r="C380" s="373"/>
      <c r="D380" s="372" t="s">
        <v>1038</v>
      </c>
      <c r="E380" s="373"/>
      <c r="F380" s="197">
        <v>1750</v>
      </c>
      <c r="G380" s="197">
        <v>1550</v>
      </c>
      <c r="H380" s="197">
        <v>1550</v>
      </c>
    </row>
    <row r="381" spans="1:8" ht="31.5">
      <c r="A381" s="372" t="s">
        <v>577</v>
      </c>
      <c r="B381" s="372" t="s">
        <v>200</v>
      </c>
      <c r="C381" s="372" t="s">
        <v>6</v>
      </c>
      <c r="D381" s="372" t="s">
        <v>1038</v>
      </c>
      <c r="E381" s="373"/>
      <c r="F381" s="197">
        <v>1750</v>
      </c>
      <c r="G381" s="197">
        <v>1550</v>
      </c>
      <c r="H381" s="197">
        <v>1550</v>
      </c>
    </row>
    <row r="382" spans="1:8" ht="78.75">
      <c r="A382" s="372" t="s">
        <v>1039</v>
      </c>
      <c r="B382" s="372" t="s">
        <v>200</v>
      </c>
      <c r="C382" s="372" t="s">
        <v>6</v>
      </c>
      <c r="D382" s="372" t="s">
        <v>1040</v>
      </c>
      <c r="E382" s="373"/>
      <c r="F382" s="197">
        <v>1750</v>
      </c>
      <c r="G382" s="197">
        <v>1550</v>
      </c>
      <c r="H382" s="197">
        <v>1550</v>
      </c>
    </row>
    <row r="383" spans="1:8" ht="47.25">
      <c r="A383" s="372" t="s">
        <v>551</v>
      </c>
      <c r="B383" s="372" t="s">
        <v>200</v>
      </c>
      <c r="C383" s="372" t="s">
        <v>6</v>
      </c>
      <c r="D383" s="372" t="s">
        <v>1040</v>
      </c>
      <c r="E383" s="372" t="s">
        <v>266</v>
      </c>
      <c r="F383" s="197">
        <v>1750</v>
      </c>
      <c r="G383" s="197">
        <v>1550</v>
      </c>
      <c r="H383" s="197">
        <v>1550</v>
      </c>
    </row>
    <row r="384" spans="1:8" ht="63">
      <c r="A384" s="372" t="s">
        <v>465</v>
      </c>
      <c r="B384" s="373"/>
      <c r="C384" s="373"/>
      <c r="D384" s="372" t="s">
        <v>378</v>
      </c>
      <c r="E384" s="373"/>
      <c r="F384" s="197">
        <v>9294.9988300000005</v>
      </c>
      <c r="G384" s="197">
        <v>9425.1820000000007</v>
      </c>
      <c r="H384" s="197">
        <v>9425.1820000000007</v>
      </c>
    </row>
    <row r="385" spans="1:8" ht="78.75">
      <c r="A385" s="372" t="s">
        <v>639</v>
      </c>
      <c r="B385" s="373"/>
      <c r="C385" s="373"/>
      <c r="D385" s="372" t="s">
        <v>379</v>
      </c>
      <c r="E385" s="373"/>
      <c r="F385" s="197">
        <v>5279.0050000000001</v>
      </c>
      <c r="G385" s="197">
        <v>5279.0050000000001</v>
      </c>
      <c r="H385" s="197">
        <v>5279.0050000000001</v>
      </c>
    </row>
    <row r="386" spans="1:8" ht="78.75">
      <c r="A386" s="372" t="s">
        <v>640</v>
      </c>
      <c r="B386" s="373"/>
      <c r="C386" s="373"/>
      <c r="D386" s="372" t="s">
        <v>380</v>
      </c>
      <c r="E386" s="373"/>
      <c r="F386" s="197">
        <v>5279.0050000000001</v>
      </c>
      <c r="G386" s="197">
        <v>5279.0050000000001</v>
      </c>
      <c r="H386" s="197">
        <v>5279.0050000000001</v>
      </c>
    </row>
    <row r="387" spans="1:8" ht="31.5">
      <c r="A387" s="372" t="s">
        <v>577</v>
      </c>
      <c r="B387" s="372" t="s">
        <v>200</v>
      </c>
      <c r="C387" s="372" t="s">
        <v>6</v>
      </c>
      <c r="D387" s="372" t="s">
        <v>380</v>
      </c>
      <c r="E387" s="373"/>
      <c r="F387" s="197">
        <v>5279.0050000000001</v>
      </c>
      <c r="G387" s="197">
        <v>5279.0050000000001</v>
      </c>
      <c r="H387" s="197">
        <v>5279.0050000000001</v>
      </c>
    </row>
    <row r="388" spans="1:8" ht="63">
      <c r="A388" s="372" t="s">
        <v>962</v>
      </c>
      <c r="B388" s="372" t="s">
        <v>200</v>
      </c>
      <c r="C388" s="372" t="s">
        <v>6</v>
      </c>
      <c r="D388" s="372" t="s">
        <v>1041</v>
      </c>
      <c r="E388" s="373"/>
      <c r="F388" s="197">
        <v>5241.0150000000003</v>
      </c>
      <c r="G388" s="197">
        <v>5227.4049999999997</v>
      </c>
      <c r="H388" s="197">
        <v>5227.4049999999997</v>
      </c>
    </row>
    <row r="389" spans="1:8" ht="110.25">
      <c r="A389" s="372" t="s">
        <v>556</v>
      </c>
      <c r="B389" s="372" t="s">
        <v>200</v>
      </c>
      <c r="C389" s="372" t="s">
        <v>6</v>
      </c>
      <c r="D389" s="372" t="s">
        <v>1041</v>
      </c>
      <c r="E389" s="372" t="s">
        <v>265</v>
      </c>
      <c r="F389" s="197">
        <v>4800.1270000000004</v>
      </c>
      <c r="G389" s="197">
        <v>4800.1270000000004</v>
      </c>
      <c r="H389" s="197">
        <v>4800.1270000000004</v>
      </c>
    </row>
    <row r="390" spans="1:8" ht="47.25">
      <c r="A390" s="372" t="s">
        <v>551</v>
      </c>
      <c r="B390" s="372" t="s">
        <v>200</v>
      </c>
      <c r="C390" s="372" t="s">
        <v>6</v>
      </c>
      <c r="D390" s="372" t="s">
        <v>1041</v>
      </c>
      <c r="E390" s="372" t="s">
        <v>266</v>
      </c>
      <c r="F390" s="197">
        <v>435.88799999999998</v>
      </c>
      <c r="G390" s="197">
        <v>422.27800000000002</v>
      </c>
      <c r="H390" s="197">
        <v>422.27800000000002</v>
      </c>
    </row>
    <row r="391" spans="1:8">
      <c r="A391" s="372" t="s">
        <v>558</v>
      </c>
      <c r="B391" s="372" t="s">
        <v>200</v>
      </c>
      <c r="C391" s="372" t="s">
        <v>6</v>
      </c>
      <c r="D391" s="372" t="s">
        <v>1041</v>
      </c>
      <c r="E391" s="372" t="s">
        <v>267</v>
      </c>
      <c r="F391" s="197">
        <v>5</v>
      </c>
      <c r="G391" s="197">
        <v>5</v>
      </c>
      <c r="H391" s="197">
        <v>5</v>
      </c>
    </row>
    <row r="392" spans="1:8" ht="110.25">
      <c r="A392" s="372" t="s">
        <v>964</v>
      </c>
      <c r="B392" s="372" t="s">
        <v>200</v>
      </c>
      <c r="C392" s="372" t="s">
        <v>6</v>
      </c>
      <c r="D392" s="372" t="s">
        <v>1042</v>
      </c>
      <c r="E392" s="373"/>
      <c r="F392" s="197">
        <v>37.99</v>
      </c>
      <c r="G392" s="197">
        <v>51.6</v>
      </c>
      <c r="H392" s="197">
        <v>51.6</v>
      </c>
    </row>
    <row r="393" spans="1:8" ht="47.25">
      <c r="A393" s="372" t="s">
        <v>551</v>
      </c>
      <c r="B393" s="372" t="s">
        <v>200</v>
      </c>
      <c r="C393" s="372" t="s">
        <v>6</v>
      </c>
      <c r="D393" s="372" t="s">
        <v>1042</v>
      </c>
      <c r="E393" s="372" t="s">
        <v>266</v>
      </c>
      <c r="F393" s="197">
        <v>37.99</v>
      </c>
      <c r="G393" s="197">
        <v>51.6</v>
      </c>
      <c r="H393" s="197">
        <v>51.6</v>
      </c>
    </row>
    <row r="394" spans="1:8" ht="47.25">
      <c r="A394" s="372" t="s">
        <v>641</v>
      </c>
      <c r="B394" s="373"/>
      <c r="C394" s="373"/>
      <c r="D394" s="372" t="s">
        <v>381</v>
      </c>
      <c r="E394" s="373"/>
      <c r="F394" s="197">
        <v>4015.9938299999999</v>
      </c>
      <c r="G394" s="197">
        <v>4146.1769999999997</v>
      </c>
      <c r="H394" s="197">
        <v>4146.1769999999997</v>
      </c>
    </row>
    <row r="395" spans="1:8" ht="63">
      <c r="A395" s="372" t="s">
        <v>642</v>
      </c>
      <c r="B395" s="373"/>
      <c r="C395" s="373"/>
      <c r="D395" s="372" t="s">
        <v>382</v>
      </c>
      <c r="E395" s="373"/>
      <c r="F395" s="197">
        <v>4015.9938299999999</v>
      </c>
      <c r="G395" s="197">
        <v>4146.1769999999997</v>
      </c>
      <c r="H395" s="197">
        <v>4146.1769999999997</v>
      </c>
    </row>
    <row r="396" spans="1:8" ht="31.5">
      <c r="A396" s="372" t="s">
        <v>577</v>
      </c>
      <c r="B396" s="372" t="s">
        <v>200</v>
      </c>
      <c r="C396" s="372" t="s">
        <v>6</v>
      </c>
      <c r="D396" s="372" t="s">
        <v>382</v>
      </c>
      <c r="E396" s="373"/>
      <c r="F396" s="197">
        <v>4015.9938299999999</v>
      </c>
      <c r="G396" s="197">
        <v>4146.1769999999997</v>
      </c>
      <c r="H396" s="197">
        <v>4146.1769999999997</v>
      </c>
    </row>
    <row r="397" spans="1:8" ht="47.25">
      <c r="A397" s="372" t="s">
        <v>643</v>
      </c>
      <c r="B397" s="372" t="s">
        <v>200</v>
      </c>
      <c r="C397" s="372" t="s">
        <v>6</v>
      </c>
      <c r="D397" s="372" t="s">
        <v>383</v>
      </c>
      <c r="E397" s="373"/>
      <c r="F397" s="197">
        <v>371.96</v>
      </c>
      <c r="G397" s="197">
        <v>262.95999999999998</v>
      </c>
      <c r="H397" s="197">
        <v>262.95999999999998</v>
      </c>
    </row>
    <row r="398" spans="1:8" ht="47.25">
      <c r="A398" s="372" t="s">
        <v>551</v>
      </c>
      <c r="B398" s="372" t="s">
        <v>200</v>
      </c>
      <c r="C398" s="372" t="s">
        <v>6</v>
      </c>
      <c r="D398" s="372" t="s">
        <v>383</v>
      </c>
      <c r="E398" s="372" t="s">
        <v>266</v>
      </c>
      <c r="F398" s="197">
        <v>371.96</v>
      </c>
      <c r="G398" s="197">
        <v>262.95999999999998</v>
      </c>
      <c r="H398" s="197">
        <v>262.95999999999998</v>
      </c>
    </row>
    <row r="399" spans="1:8" ht="47.25">
      <c r="A399" s="372" t="s">
        <v>644</v>
      </c>
      <c r="B399" s="372" t="s">
        <v>200</v>
      </c>
      <c r="C399" s="372" t="s">
        <v>6</v>
      </c>
      <c r="D399" s="372" t="s">
        <v>384</v>
      </c>
      <c r="E399" s="373"/>
      <c r="F399" s="197">
        <v>3469.8168300000002</v>
      </c>
      <c r="G399" s="197">
        <v>3645</v>
      </c>
      <c r="H399" s="197">
        <v>3645</v>
      </c>
    </row>
    <row r="400" spans="1:8" ht="47.25">
      <c r="A400" s="372" t="s">
        <v>551</v>
      </c>
      <c r="B400" s="372" t="s">
        <v>200</v>
      </c>
      <c r="C400" s="372" t="s">
        <v>6</v>
      </c>
      <c r="D400" s="372" t="s">
        <v>384</v>
      </c>
      <c r="E400" s="372" t="s">
        <v>266</v>
      </c>
      <c r="F400" s="197">
        <v>3469.8168300000002</v>
      </c>
      <c r="G400" s="197">
        <v>3645</v>
      </c>
      <c r="H400" s="197">
        <v>3645</v>
      </c>
    </row>
    <row r="401" spans="1:8" ht="63">
      <c r="A401" s="372" t="s">
        <v>928</v>
      </c>
      <c r="B401" s="372" t="s">
        <v>200</v>
      </c>
      <c r="C401" s="372" t="s">
        <v>6</v>
      </c>
      <c r="D401" s="372" t="s">
        <v>385</v>
      </c>
      <c r="E401" s="373"/>
      <c r="F401" s="197">
        <v>174.21700000000001</v>
      </c>
      <c r="G401" s="197">
        <v>238.21700000000001</v>
      </c>
      <c r="H401" s="197">
        <v>238.21700000000001</v>
      </c>
    </row>
    <row r="402" spans="1:8" ht="47.25">
      <c r="A402" s="372" t="s">
        <v>551</v>
      </c>
      <c r="B402" s="372" t="s">
        <v>200</v>
      </c>
      <c r="C402" s="372" t="s">
        <v>6</v>
      </c>
      <c r="D402" s="372" t="s">
        <v>385</v>
      </c>
      <c r="E402" s="372" t="s">
        <v>266</v>
      </c>
      <c r="F402" s="197">
        <v>174.21700000000001</v>
      </c>
      <c r="G402" s="197">
        <v>238.21700000000001</v>
      </c>
      <c r="H402" s="197">
        <v>238.21700000000001</v>
      </c>
    </row>
    <row r="403" spans="1:8" ht="47.25">
      <c r="A403" s="372" t="s">
        <v>434</v>
      </c>
      <c r="B403" s="373"/>
      <c r="C403" s="373"/>
      <c r="D403" s="372" t="s">
        <v>386</v>
      </c>
      <c r="E403" s="373"/>
      <c r="F403" s="197">
        <v>38223.986700000001</v>
      </c>
      <c r="G403" s="197">
        <v>27303.244589999998</v>
      </c>
      <c r="H403" s="197">
        <v>27616.39459</v>
      </c>
    </row>
    <row r="404" spans="1:8" ht="47.25">
      <c r="A404" s="372" t="s">
        <v>648</v>
      </c>
      <c r="B404" s="373"/>
      <c r="C404" s="373"/>
      <c r="D404" s="372" t="s">
        <v>387</v>
      </c>
      <c r="E404" s="373"/>
      <c r="F404" s="197">
        <v>29289.876700000001</v>
      </c>
      <c r="G404" s="197">
        <v>18381.110939999999</v>
      </c>
      <c r="H404" s="197">
        <v>18381.110939999999</v>
      </c>
    </row>
    <row r="405" spans="1:8" ht="47.25">
      <c r="A405" s="372" t="s">
        <v>649</v>
      </c>
      <c r="B405" s="373"/>
      <c r="C405" s="373"/>
      <c r="D405" s="372" t="s">
        <v>388</v>
      </c>
      <c r="E405" s="373"/>
      <c r="F405" s="197">
        <v>16670.0867</v>
      </c>
      <c r="G405" s="197">
        <v>10041.16287</v>
      </c>
      <c r="H405" s="197">
        <v>10041.16287</v>
      </c>
    </row>
    <row r="406" spans="1:8">
      <c r="A406" s="372" t="s">
        <v>645</v>
      </c>
      <c r="B406" s="372" t="s">
        <v>4</v>
      </c>
      <c r="C406" s="372" t="s">
        <v>202</v>
      </c>
      <c r="D406" s="372" t="s">
        <v>388</v>
      </c>
      <c r="E406" s="373"/>
      <c r="F406" s="197">
        <v>16670.0867</v>
      </c>
      <c r="G406" s="197">
        <v>10041.16287</v>
      </c>
      <c r="H406" s="197">
        <v>10041.16287</v>
      </c>
    </row>
    <row r="407" spans="1:8" ht="47.25">
      <c r="A407" s="372" t="s">
        <v>867</v>
      </c>
      <c r="B407" s="372" t="s">
        <v>4</v>
      </c>
      <c r="C407" s="372" t="s">
        <v>202</v>
      </c>
      <c r="D407" s="372" t="s">
        <v>879</v>
      </c>
      <c r="E407" s="373"/>
      <c r="F407" s="197">
        <v>532.96</v>
      </c>
      <c r="G407" s="197">
        <v>463.87979999999999</v>
      </c>
      <c r="H407" s="197">
        <v>463.87979999999999</v>
      </c>
    </row>
    <row r="408" spans="1:8" ht="47.25">
      <c r="A408" s="372" t="s">
        <v>547</v>
      </c>
      <c r="B408" s="372" t="s">
        <v>4</v>
      </c>
      <c r="C408" s="372" t="s">
        <v>202</v>
      </c>
      <c r="D408" s="372" t="s">
        <v>879</v>
      </c>
      <c r="E408" s="372" t="s">
        <v>268</v>
      </c>
      <c r="F408" s="197">
        <v>532.96</v>
      </c>
      <c r="G408" s="197">
        <v>463.87979999999999</v>
      </c>
      <c r="H408" s="197">
        <v>463.87979999999999</v>
      </c>
    </row>
    <row r="409" spans="1:8" ht="31.5">
      <c r="A409" s="372" t="s">
        <v>853</v>
      </c>
      <c r="B409" s="372" t="s">
        <v>4</v>
      </c>
      <c r="C409" s="372" t="s">
        <v>202</v>
      </c>
      <c r="D409" s="372" t="s">
        <v>1043</v>
      </c>
      <c r="E409" s="373"/>
      <c r="F409" s="197">
        <v>128.87</v>
      </c>
      <c r="G409" s="197">
        <v>128.87</v>
      </c>
      <c r="H409" s="197">
        <v>128.87</v>
      </c>
    </row>
    <row r="410" spans="1:8" ht="47.25">
      <c r="A410" s="372" t="s">
        <v>547</v>
      </c>
      <c r="B410" s="372" t="s">
        <v>4</v>
      </c>
      <c r="C410" s="372" t="s">
        <v>202</v>
      </c>
      <c r="D410" s="372" t="s">
        <v>1043</v>
      </c>
      <c r="E410" s="372" t="s">
        <v>268</v>
      </c>
      <c r="F410" s="197">
        <v>128.87</v>
      </c>
      <c r="G410" s="197">
        <v>128.87</v>
      </c>
      <c r="H410" s="197">
        <v>128.87</v>
      </c>
    </row>
    <row r="411" spans="1:8" ht="63">
      <c r="A411" s="372" t="s">
        <v>650</v>
      </c>
      <c r="B411" s="372" t="s">
        <v>4</v>
      </c>
      <c r="C411" s="372" t="s">
        <v>202</v>
      </c>
      <c r="D411" s="372" t="s">
        <v>1044</v>
      </c>
      <c r="E411" s="373"/>
      <c r="F411" s="197">
        <v>12554.6587</v>
      </c>
      <c r="G411" s="197">
        <v>7548.4130699999996</v>
      </c>
      <c r="H411" s="197">
        <v>7548.4130699999996</v>
      </c>
    </row>
    <row r="412" spans="1:8" ht="47.25">
      <c r="A412" s="372" t="s">
        <v>547</v>
      </c>
      <c r="B412" s="372" t="s">
        <v>4</v>
      </c>
      <c r="C412" s="372" t="s">
        <v>202</v>
      </c>
      <c r="D412" s="372" t="s">
        <v>1044</v>
      </c>
      <c r="E412" s="372" t="s">
        <v>268</v>
      </c>
      <c r="F412" s="197">
        <v>12554.6587</v>
      </c>
      <c r="G412" s="197">
        <v>7548.4130699999996</v>
      </c>
      <c r="H412" s="197">
        <v>7548.4130699999996</v>
      </c>
    </row>
    <row r="413" spans="1:8" ht="31.5">
      <c r="A413" s="372" t="s">
        <v>651</v>
      </c>
      <c r="B413" s="372" t="s">
        <v>4</v>
      </c>
      <c r="C413" s="372" t="s">
        <v>202</v>
      </c>
      <c r="D413" s="372" t="s">
        <v>1045</v>
      </c>
      <c r="E413" s="373"/>
      <c r="F413" s="197">
        <v>150</v>
      </c>
      <c r="G413" s="197">
        <v>150</v>
      </c>
      <c r="H413" s="197">
        <v>150</v>
      </c>
    </row>
    <row r="414" spans="1:8" ht="47.25">
      <c r="A414" s="372" t="s">
        <v>547</v>
      </c>
      <c r="B414" s="372" t="s">
        <v>4</v>
      </c>
      <c r="C414" s="372" t="s">
        <v>202</v>
      </c>
      <c r="D414" s="372" t="s">
        <v>1045</v>
      </c>
      <c r="E414" s="372" t="s">
        <v>268</v>
      </c>
      <c r="F414" s="197">
        <v>150</v>
      </c>
      <c r="G414" s="197">
        <v>150</v>
      </c>
      <c r="H414" s="197">
        <v>150</v>
      </c>
    </row>
    <row r="415" spans="1:8" ht="47.25">
      <c r="A415" s="372" t="s">
        <v>1171</v>
      </c>
      <c r="B415" s="372" t="s">
        <v>4</v>
      </c>
      <c r="C415" s="372" t="s">
        <v>202</v>
      </c>
      <c r="D415" s="372" t="s">
        <v>1172</v>
      </c>
      <c r="E415" s="373"/>
      <c r="F415" s="197">
        <v>800</v>
      </c>
      <c r="G415" s="197">
        <v>0</v>
      </c>
      <c r="H415" s="197">
        <v>0</v>
      </c>
    </row>
    <row r="416" spans="1:8" ht="47.25">
      <c r="A416" s="372" t="s">
        <v>605</v>
      </c>
      <c r="B416" s="372" t="s">
        <v>4</v>
      </c>
      <c r="C416" s="372" t="s">
        <v>202</v>
      </c>
      <c r="D416" s="372" t="s">
        <v>1172</v>
      </c>
      <c r="E416" s="372" t="s">
        <v>270</v>
      </c>
      <c r="F416" s="197">
        <v>800</v>
      </c>
      <c r="G416" s="197">
        <v>0</v>
      </c>
      <c r="H416" s="197">
        <v>0</v>
      </c>
    </row>
    <row r="417" spans="1:8" ht="63">
      <c r="A417" s="372" t="s">
        <v>1046</v>
      </c>
      <c r="B417" s="372" t="s">
        <v>4</v>
      </c>
      <c r="C417" s="372" t="s">
        <v>202</v>
      </c>
      <c r="D417" s="372" t="s">
        <v>1047</v>
      </c>
      <c r="E417" s="373"/>
      <c r="F417" s="197">
        <v>458.46</v>
      </c>
      <c r="G417" s="197">
        <v>500</v>
      </c>
      <c r="H417" s="197">
        <v>500</v>
      </c>
    </row>
    <row r="418" spans="1:8" ht="47.25">
      <c r="A418" s="372" t="s">
        <v>547</v>
      </c>
      <c r="B418" s="372" t="s">
        <v>4</v>
      </c>
      <c r="C418" s="372" t="s">
        <v>202</v>
      </c>
      <c r="D418" s="372" t="s">
        <v>1047</v>
      </c>
      <c r="E418" s="372" t="s">
        <v>268</v>
      </c>
      <c r="F418" s="197">
        <v>458.46</v>
      </c>
      <c r="G418" s="197">
        <v>500</v>
      </c>
      <c r="H418" s="197">
        <v>500</v>
      </c>
    </row>
    <row r="419" spans="1:8">
      <c r="A419" s="372" t="s">
        <v>1048</v>
      </c>
      <c r="B419" s="372" t="s">
        <v>4</v>
      </c>
      <c r="C419" s="372" t="s">
        <v>202</v>
      </c>
      <c r="D419" s="372" t="s">
        <v>1049</v>
      </c>
      <c r="E419" s="373"/>
      <c r="F419" s="197">
        <v>2045.1379999999999</v>
      </c>
      <c r="G419" s="197">
        <v>1250</v>
      </c>
      <c r="H419" s="197">
        <v>1250</v>
      </c>
    </row>
    <row r="420" spans="1:8" ht="47.25">
      <c r="A420" s="372" t="s">
        <v>551</v>
      </c>
      <c r="B420" s="372" t="s">
        <v>4</v>
      </c>
      <c r="C420" s="372" t="s">
        <v>202</v>
      </c>
      <c r="D420" s="372" t="s">
        <v>1049</v>
      </c>
      <c r="E420" s="372" t="s">
        <v>266</v>
      </c>
      <c r="F420" s="197">
        <v>495.13799999999998</v>
      </c>
      <c r="G420" s="197">
        <v>0</v>
      </c>
      <c r="H420" s="197">
        <v>0</v>
      </c>
    </row>
    <row r="421" spans="1:8" ht="47.25">
      <c r="A421" s="372" t="s">
        <v>547</v>
      </c>
      <c r="B421" s="372" t="s">
        <v>4</v>
      </c>
      <c r="C421" s="372" t="s">
        <v>202</v>
      </c>
      <c r="D421" s="372" t="s">
        <v>1049</v>
      </c>
      <c r="E421" s="372" t="s">
        <v>268</v>
      </c>
      <c r="F421" s="197">
        <v>1550</v>
      </c>
      <c r="G421" s="197">
        <v>1250</v>
      </c>
      <c r="H421" s="197">
        <v>1250</v>
      </c>
    </row>
    <row r="422" spans="1:8" ht="94.5">
      <c r="A422" s="372" t="s">
        <v>1050</v>
      </c>
      <c r="B422" s="373"/>
      <c r="C422" s="373"/>
      <c r="D422" s="372" t="s">
        <v>1051</v>
      </c>
      <c r="E422" s="373"/>
      <c r="F422" s="197">
        <v>7630.89</v>
      </c>
      <c r="G422" s="197">
        <v>8339.9480700000004</v>
      </c>
      <c r="H422" s="197">
        <v>8339.9480700000004</v>
      </c>
    </row>
    <row r="423" spans="1:8">
      <c r="A423" s="372" t="s">
        <v>645</v>
      </c>
      <c r="B423" s="372" t="s">
        <v>4</v>
      </c>
      <c r="C423" s="372" t="s">
        <v>202</v>
      </c>
      <c r="D423" s="372" t="s">
        <v>1051</v>
      </c>
      <c r="E423" s="373"/>
      <c r="F423" s="197">
        <v>7610.49</v>
      </c>
      <c r="G423" s="197">
        <v>8319.5480700000007</v>
      </c>
      <c r="H423" s="197">
        <v>8319.5480700000007</v>
      </c>
    </row>
    <row r="424" spans="1:8" ht="47.25">
      <c r="A424" s="372" t="s">
        <v>867</v>
      </c>
      <c r="B424" s="372" t="s">
        <v>4</v>
      </c>
      <c r="C424" s="372" t="s">
        <v>202</v>
      </c>
      <c r="D424" s="372" t="s">
        <v>1052</v>
      </c>
      <c r="E424" s="373"/>
      <c r="F424" s="197">
        <v>5329.87</v>
      </c>
      <c r="G424" s="197">
        <v>5842.3543200000004</v>
      </c>
      <c r="H424" s="197">
        <v>5842.3543200000004</v>
      </c>
    </row>
    <row r="425" spans="1:8" ht="47.25">
      <c r="A425" s="372" t="s">
        <v>547</v>
      </c>
      <c r="B425" s="372" t="s">
        <v>4</v>
      </c>
      <c r="C425" s="372" t="s">
        <v>202</v>
      </c>
      <c r="D425" s="372" t="s">
        <v>1052</v>
      </c>
      <c r="E425" s="372" t="s">
        <v>268</v>
      </c>
      <c r="F425" s="197">
        <v>5329.87</v>
      </c>
      <c r="G425" s="197">
        <v>5842.3543200000004</v>
      </c>
      <c r="H425" s="197">
        <v>5842.3543200000004</v>
      </c>
    </row>
    <row r="426" spans="1:8" ht="31.5">
      <c r="A426" s="372" t="s">
        <v>647</v>
      </c>
      <c r="B426" s="372" t="s">
        <v>4</v>
      </c>
      <c r="C426" s="372" t="s">
        <v>202</v>
      </c>
      <c r="D426" s="372" t="s">
        <v>1053</v>
      </c>
      <c r="E426" s="373"/>
      <c r="F426" s="197">
        <v>2280.62</v>
      </c>
      <c r="G426" s="197">
        <v>2477.1937499999999</v>
      </c>
      <c r="H426" s="197">
        <v>2477.1937499999999</v>
      </c>
    </row>
    <row r="427" spans="1:8" ht="47.25">
      <c r="A427" s="372" t="s">
        <v>547</v>
      </c>
      <c r="B427" s="372" t="s">
        <v>4</v>
      </c>
      <c r="C427" s="372" t="s">
        <v>202</v>
      </c>
      <c r="D427" s="372" t="s">
        <v>1053</v>
      </c>
      <c r="E427" s="372" t="s">
        <v>268</v>
      </c>
      <c r="F427" s="197">
        <v>2280.62</v>
      </c>
      <c r="G427" s="197">
        <v>2477.1937499999999</v>
      </c>
      <c r="H427" s="197">
        <v>2477.1937499999999</v>
      </c>
    </row>
    <row r="428" spans="1:8" ht="31.5">
      <c r="A428" s="372" t="s">
        <v>611</v>
      </c>
      <c r="B428" s="372" t="s">
        <v>4</v>
      </c>
      <c r="C428" s="372" t="s">
        <v>4</v>
      </c>
      <c r="D428" s="372" t="s">
        <v>1051</v>
      </c>
      <c r="E428" s="373"/>
      <c r="F428" s="197">
        <v>20.399999999999999</v>
      </c>
      <c r="G428" s="197">
        <v>20.399999999999999</v>
      </c>
      <c r="H428" s="197">
        <v>20.399999999999999</v>
      </c>
    </row>
    <row r="429" spans="1:8" ht="141.75">
      <c r="A429" s="372" t="s">
        <v>612</v>
      </c>
      <c r="B429" s="372" t="s">
        <v>4</v>
      </c>
      <c r="C429" s="372" t="s">
        <v>4</v>
      </c>
      <c r="D429" s="372" t="s">
        <v>1054</v>
      </c>
      <c r="E429" s="373"/>
      <c r="F429" s="197">
        <v>20.399999999999999</v>
      </c>
      <c r="G429" s="197">
        <v>20.399999999999999</v>
      </c>
      <c r="H429" s="197">
        <v>20.399999999999999</v>
      </c>
    </row>
    <row r="430" spans="1:8">
      <c r="A430" s="372" t="s">
        <v>558</v>
      </c>
      <c r="B430" s="372" t="s">
        <v>4</v>
      </c>
      <c r="C430" s="372" t="s">
        <v>4</v>
      </c>
      <c r="D430" s="372" t="s">
        <v>1054</v>
      </c>
      <c r="E430" s="372" t="s">
        <v>267</v>
      </c>
      <c r="F430" s="197">
        <v>20.399999999999999</v>
      </c>
      <c r="G430" s="197">
        <v>20.399999999999999</v>
      </c>
      <c r="H430" s="197">
        <v>20.399999999999999</v>
      </c>
    </row>
    <row r="431" spans="1:8" ht="94.5">
      <c r="A431" s="372" t="s">
        <v>1055</v>
      </c>
      <c r="B431" s="373"/>
      <c r="C431" s="373"/>
      <c r="D431" s="372" t="s">
        <v>1056</v>
      </c>
      <c r="E431" s="373"/>
      <c r="F431" s="197">
        <v>4988.8999999999996</v>
      </c>
      <c r="G431" s="197">
        <v>0</v>
      </c>
      <c r="H431" s="197">
        <v>0</v>
      </c>
    </row>
    <row r="432" spans="1:8">
      <c r="A432" s="372" t="s">
        <v>1166</v>
      </c>
      <c r="B432" s="372" t="s">
        <v>4</v>
      </c>
      <c r="C432" s="372" t="s">
        <v>198</v>
      </c>
      <c r="D432" s="372" t="s">
        <v>1056</v>
      </c>
      <c r="E432" s="373"/>
      <c r="F432" s="197">
        <v>4988.8999999999996</v>
      </c>
      <c r="G432" s="197">
        <v>0</v>
      </c>
      <c r="H432" s="197">
        <v>0</v>
      </c>
    </row>
    <row r="433" spans="1:8" ht="31.5">
      <c r="A433" s="372" t="s">
        <v>657</v>
      </c>
      <c r="B433" s="372" t="s">
        <v>4</v>
      </c>
      <c r="C433" s="372" t="s">
        <v>198</v>
      </c>
      <c r="D433" s="372" t="s">
        <v>1057</v>
      </c>
      <c r="E433" s="373"/>
      <c r="F433" s="197">
        <v>4988.8999999999996</v>
      </c>
      <c r="G433" s="197">
        <v>0</v>
      </c>
      <c r="H433" s="197">
        <v>0</v>
      </c>
    </row>
    <row r="434" spans="1:8" ht="47.25">
      <c r="A434" s="372" t="s">
        <v>547</v>
      </c>
      <c r="B434" s="372" t="s">
        <v>4</v>
      </c>
      <c r="C434" s="372" t="s">
        <v>198</v>
      </c>
      <c r="D434" s="372" t="s">
        <v>1057</v>
      </c>
      <c r="E434" s="372" t="s">
        <v>268</v>
      </c>
      <c r="F434" s="197">
        <v>4988.8999999999996</v>
      </c>
      <c r="G434" s="197">
        <v>0</v>
      </c>
      <c r="H434" s="197">
        <v>0</v>
      </c>
    </row>
    <row r="435" spans="1:8" ht="63">
      <c r="A435" s="372" t="s">
        <v>1058</v>
      </c>
      <c r="B435" s="373"/>
      <c r="C435" s="373"/>
      <c r="D435" s="372" t="s">
        <v>1059</v>
      </c>
      <c r="E435" s="373"/>
      <c r="F435" s="197">
        <v>8934.11</v>
      </c>
      <c r="G435" s="197">
        <v>8922.1336499999998</v>
      </c>
      <c r="H435" s="197">
        <v>9235.2836499999994</v>
      </c>
    </row>
    <row r="436" spans="1:8" ht="47.25">
      <c r="A436" s="372" t="s">
        <v>655</v>
      </c>
      <c r="B436" s="373"/>
      <c r="C436" s="373"/>
      <c r="D436" s="372" t="s">
        <v>1060</v>
      </c>
      <c r="E436" s="373"/>
      <c r="F436" s="197">
        <v>8934.11</v>
      </c>
      <c r="G436" s="197">
        <v>8922.1336499999998</v>
      </c>
      <c r="H436" s="197">
        <v>9235.2836499999994</v>
      </c>
    </row>
    <row r="437" spans="1:8">
      <c r="A437" s="372" t="s">
        <v>908</v>
      </c>
      <c r="B437" s="372" t="s">
        <v>195</v>
      </c>
      <c r="C437" s="372" t="s">
        <v>204</v>
      </c>
      <c r="D437" s="372" t="s">
        <v>1060</v>
      </c>
      <c r="E437" s="373"/>
      <c r="F437" s="197">
        <v>8934.11</v>
      </c>
      <c r="G437" s="197">
        <v>8922.1336499999998</v>
      </c>
      <c r="H437" s="197">
        <v>9235.2836499999994</v>
      </c>
    </row>
    <row r="438" spans="1:8" ht="47.25">
      <c r="A438" s="372" t="s">
        <v>656</v>
      </c>
      <c r="B438" s="372" t="s">
        <v>195</v>
      </c>
      <c r="C438" s="372" t="s">
        <v>204</v>
      </c>
      <c r="D438" s="372" t="s">
        <v>1061</v>
      </c>
      <c r="E438" s="373"/>
      <c r="F438" s="197">
        <v>8934.11</v>
      </c>
      <c r="G438" s="197">
        <v>8922.1336499999998</v>
      </c>
      <c r="H438" s="197">
        <v>9235.2836499999994</v>
      </c>
    </row>
    <row r="439" spans="1:8" ht="47.25">
      <c r="A439" s="372" t="s">
        <v>547</v>
      </c>
      <c r="B439" s="372" t="s">
        <v>195</v>
      </c>
      <c r="C439" s="372" t="s">
        <v>204</v>
      </c>
      <c r="D439" s="372" t="s">
        <v>1061</v>
      </c>
      <c r="E439" s="372" t="s">
        <v>268</v>
      </c>
      <c r="F439" s="197">
        <v>8934.11</v>
      </c>
      <c r="G439" s="197">
        <v>8922.1336499999998</v>
      </c>
      <c r="H439" s="197">
        <v>9235.2836499999994</v>
      </c>
    </row>
    <row r="440" spans="1:8" ht="63">
      <c r="A440" s="372" t="s">
        <v>1062</v>
      </c>
      <c r="B440" s="373"/>
      <c r="C440" s="373"/>
      <c r="D440" s="372" t="s">
        <v>389</v>
      </c>
      <c r="E440" s="373"/>
      <c r="F440" s="197">
        <v>1789.5340000000001</v>
      </c>
      <c r="G440" s="197">
        <v>1042.2380000000001</v>
      </c>
      <c r="H440" s="197">
        <v>1042.2380000000001</v>
      </c>
    </row>
    <row r="441" spans="1:8" ht="78.75">
      <c r="A441" s="372" t="s">
        <v>1431</v>
      </c>
      <c r="B441" s="373"/>
      <c r="C441" s="373"/>
      <c r="D441" s="372" t="s">
        <v>389</v>
      </c>
      <c r="E441" s="373"/>
      <c r="F441" s="197">
        <v>1789.5340000000001</v>
      </c>
      <c r="G441" s="197">
        <v>1042.2380000000001</v>
      </c>
      <c r="H441" s="197">
        <v>1042.2380000000001</v>
      </c>
    </row>
    <row r="442" spans="1:8" ht="78.75">
      <c r="A442" s="372" t="s">
        <v>1063</v>
      </c>
      <c r="B442" s="373"/>
      <c r="C442" s="373"/>
      <c r="D442" s="372" t="s">
        <v>1064</v>
      </c>
      <c r="E442" s="373"/>
      <c r="F442" s="197">
        <v>31.608000000000001</v>
      </c>
      <c r="G442" s="197">
        <v>31.608000000000001</v>
      </c>
      <c r="H442" s="197">
        <v>31.608000000000001</v>
      </c>
    </row>
    <row r="443" spans="1:8" ht="31.5">
      <c r="A443" s="372" t="s">
        <v>577</v>
      </c>
      <c r="B443" s="372" t="s">
        <v>200</v>
      </c>
      <c r="C443" s="372" t="s">
        <v>6</v>
      </c>
      <c r="D443" s="372" t="s">
        <v>1064</v>
      </c>
      <c r="E443" s="373"/>
      <c r="F443" s="197">
        <v>31.608000000000001</v>
      </c>
      <c r="G443" s="197">
        <v>31.608000000000001</v>
      </c>
      <c r="H443" s="197">
        <v>31.608000000000001</v>
      </c>
    </row>
    <row r="444" spans="1:8" ht="78.75">
      <c r="A444" s="372" t="s">
        <v>1065</v>
      </c>
      <c r="B444" s="372" t="s">
        <v>200</v>
      </c>
      <c r="C444" s="372" t="s">
        <v>6</v>
      </c>
      <c r="D444" s="372" t="s">
        <v>1066</v>
      </c>
      <c r="E444" s="373"/>
      <c r="F444" s="197">
        <v>31.608000000000001</v>
      </c>
      <c r="G444" s="197">
        <v>31.608000000000001</v>
      </c>
      <c r="H444" s="197">
        <v>31.608000000000001</v>
      </c>
    </row>
    <row r="445" spans="1:8" ht="110.25">
      <c r="A445" s="372" t="s">
        <v>556</v>
      </c>
      <c r="B445" s="372" t="s">
        <v>200</v>
      </c>
      <c r="C445" s="372" t="s">
        <v>6</v>
      </c>
      <c r="D445" s="372" t="s">
        <v>1066</v>
      </c>
      <c r="E445" s="372" t="s">
        <v>265</v>
      </c>
      <c r="F445" s="197">
        <v>20</v>
      </c>
      <c r="G445" s="197">
        <v>25</v>
      </c>
      <c r="H445" s="197">
        <v>25</v>
      </c>
    </row>
    <row r="446" spans="1:8" ht="47.25">
      <c r="A446" s="372" t="s">
        <v>551</v>
      </c>
      <c r="B446" s="372" t="s">
        <v>200</v>
      </c>
      <c r="C446" s="372" t="s">
        <v>6</v>
      </c>
      <c r="D446" s="372" t="s">
        <v>1066</v>
      </c>
      <c r="E446" s="372" t="s">
        <v>266</v>
      </c>
      <c r="F446" s="197">
        <v>6.2009999999999996</v>
      </c>
      <c r="G446" s="197">
        <v>4.2</v>
      </c>
      <c r="H446" s="197">
        <v>4.2</v>
      </c>
    </row>
    <row r="447" spans="1:8">
      <c r="A447" s="372" t="s">
        <v>558</v>
      </c>
      <c r="B447" s="372" t="s">
        <v>200</v>
      </c>
      <c r="C447" s="372" t="s">
        <v>6</v>
      </c>
      <c r="D447" s="372" t="s">
        <v>1066</v>
      </c>
      <c r="E447" s="372" t="s">
        <v>267</v>
      </c>
      <c r="F447" s="197">
        <v>5.407</v>
      </c>
      <c r="G447" s="197">
        <v>2.4079999999999999</v>
      </c>
      <c r="H447" s="197">
        <v>2.4079999999999999</v>
      </c>
    </row>
    <row r="448" spans="1:8" ht="126">
      <c r="A448" s="372" t="s">
        <v>1067</v>
      </c>
      <c r="B448" s="373"/>
      <c r="C448" s="373"/>
      <c r="D448" s="372" t="s">
        <v>1068</v>
      </c>
      <c r="E448" s="373"/>
      <c r="F448" s="197">
        <v>1152</v>
      </c>
      <c r="G448" s="197">
        <v>500</v>
      </c>
      <c r="H448" s="197">
        <v>500</v>
      </c>
    </row>
    <row r="449" spans="1:8" ht="31.5">
      <c r="A449" s="372" t="s">
        <v>596</v>
      </c>
      <c r="B449" s="372" t="s">
        <v>203</v>
      </c>
      <c r="C449" s="372" t="s">
        <v>204</v>
      </c>
      <c r="D449" s="372" t="s">
        <v>1068</v>
      </c>
      <c r="E449" s="373"/>
      <c r="F449" s="197">
        <v>1152</v>
      </c>
      <c r="G449" s="197">
        <v>500</v>
      </c>
      <c r="H449" s="197">
        <v>500</v>
      </c>
    </row>
    <row r="450" spans="1:8" ht="126">
      <c r="A450" s="372" t="s">
        <v>1069</v>
      </c>
      <c r="B450" s="372" t="s">
        <v>203</v>
      </c>
      <c r="C450" s="372" t="s">
        <v>204</v>
      </c>
      <c r="D450" s="372" t="s">
        <v>1070</v>
      </c>
      <c r="E450" s="373"/>
      <c r="F450" s="197">
        <v>1152</v>
      </c>
      <c r="G450" s="197">
        <v>500</v>
      </c>
      <c r="H450" s="197">
        <v>500</v>
      </c>
    </row>
    <row r="451" spans="1:8" ht="47.25">
      <c r="A451" s="372" t="s">
        <v>547</v>
      </c>
      <c r="B451" s="372" t="s">
        <v>203</v>
      </c>
      <c r="C451" s="372" t="s">
        <v>204</v>
      </c>
      <c r="D451" s="372" t="s">
        <v>1070</v>
      </c>
      <c r="E451" s="372" t="s">
        <v>268</v>
      </c>
      <c r="F451" s="197">
        <v>1152</v>
      </c>
      <c r="G451" s="197">
        <v>500</v>
      </c>
      <c r="H451" s="197">
        <v>500</v>
      </c>
    </row>
    <row r="452" spans="1:8" ht="47.25">
      <c r="A452" s="372" t="s">
        <v>599</v>
      </c>
      <c r="B452" s="373"/>
      <c r="C452" s="373"/>
      <c r="D452" s="372" t="s">
        <v>1071</v>
      </c>
      <c r="E452" s="373"/>
      <c r="F452" s="197">
        <v>200</v>
      </c>
      <c r="G452" s="197">
        <v>200</v>
      </c>
      <c r="H452" s="197">
        <v>200</v>
      </c>
    </row>
    <row r="453" spans="1:8" ht="31.5">
      <c r="A453" s="372" t="s">
        <v>577</v>
      </c>
      <c r="B453" s="372" t="s">
        <v>200</v>
      </c>
      <c r="C453" s="372" t="s">
        <v>6</v>
      </c>
      <c r="D453" s="372" t="s">
        <v>1071</v>
      </c>
      <c r="E453" s="373"/>
      <c r="F453" s="197">
        <v>200</v>
      </c>
      <c r="G453" s="197">
        <v>200</v>
      </c>
      <c r="H453" s="197">
        <v>200</v>
      </c>
    </row>
    <row r="454" spans="1:8" ht="47.25">
      <c r="A454" s="372" t="s">
        <v>601</v>
      </c>
      <c r="B454" s="372" t="s">
        <v>200</v>
      </c>
      <c r="C454" s="372" t="s">
        <v>6</v>
      </c>
      <c r="D454" s="372" t="s">
        <v>1072</v>
      </c>
      <c r="E454" s="373"/>
      <c r="F454" s="197">
        <v>200</v>
      </c>
      <c r="G454" s="197">
        <v>200</v>
      </c>
      <c r="H454" s="197">
        <v>200</v>
      </c>
    </row>
    <row r="455" spans="1:8" ht="47.25">
      <c r="A455" s="372" t="s">
        <v>547</v>
      </c>
      <c r="B455" s="372" t="s">
        <v>200</v>
      </c>
      <c r="C455" s="372" t="s">
        <v>6</v>
      </c>
      <c r="D455" s="372" t="s">
        <v>1072</v>
      </c>
      <c r="E455" s="372" t="s">
        <v>268</v>
      </c>
      <c r="F455" s="197">
        <v>200</v>
      </c>
      <c r="G455" s="197">
        <v>200</v>
      </c>
      <c r="H455" s="197">
        <v>200</v>
      </c>
    </row>
    <row r="456" spans="1:8" ht="63">
      <c r="A456" s="372" t="s">
        <v>652</v>
      </c>
      <c r="B456" s="373"/>
      <c r="C456" s="373"/>
      <c r="D456" s="372" t="s">
        <v>1073</v>
      </c>
      <c r="E456" s="373"/>
      <c r="F456" s="197">
        <v>199.52600000000001</v>
      </c>
      <c r="G456" s="197">
        <v>104.23</v>
      </c>
      <c r="H456" s="197">
        <v>104.23</v>
      </c>
    </row>
    <row r="457" spans="1:8">
      <c r="A457" s="372" t="s">
        <v>653</v>
      </c>
      <c r="B457" s="372" t="s">
        <v>195</v>
      </c>
      <c r="C457" s="372" t="s">
        <v>4</v>
      </c>
      <c r="D457" s="372" t="s">
        <v>1073</v>
      </c>
      <c r="E457" s="373"/>
      <c r="F457" s="197">
        <v>199.52600000000001</v>
      </c>
      <c r="G457" s="197">
        <v>104.23</v>
      </c>
      <c r="H457" s="197">
        <v>104.23</v>
      </c>
    </row>
    <row r="458" spans="1:8" ht="173.25">
      <c r="A458" s="372" t="s">
        <v>654</v>
      </c>
      <c r="B458" s="372" t="s">
        <v>195</v>
      </c>
      <c r="C458" s="372" t="s">
        <v>4</v>
      </c>
      <c r="D458" s="372" t="s">
        <v>1074</v>
      </c>
      <c r="E458" s="373"/>
      <c r="F458" s="197">
        <v>199.52600000000001</v>
      </c>
      <c r="G458" s="197">
        <v>104.23</v>
      </c>
      <c r="H458" s="197">
        <v>104.23</v>
      </c>
    </row>
    <row r="459" spans="1:8" ht="47.25">
      <c r="A459" s="372" t="s">
        <v>547</v>
      </c>
      <c r="B459" s="372" t="s">
        <v>195</v>
      </c>
      <c r="C459" s="372" t="s">
        <v>4</v>
      </c>
      <c r="D459" s="372" t="s">
        <v>1074</v>
      </c>
      <c r="E459" s="372" t="s">
        <v>268</v>
      </c>
      <c r="F459" s="197">
        <v>199.52600000000001</v>
      </c>
      <c r="G459" s="197">
        <v>104.23</v>
      </c>
      <c r="H459" s="197">
        <v>104.23</v>
      </c>
    </row>
    <row r="460" spans="1:8" ht="47.25">
      <c r="A460" s="372" t="s">
        <v>1075</v>
      </c>
      <c r="B460" s="373"/>
      <c r="C460" s="373"/>
      <c r="D460" s="372" t="s">
        <v>1076</v>
      </c>
      <c r="E460" s="373"/>
      <c r="F460" s="197">
        <v>206.4</v>
      </c>
      <c r="G460" s="197">
        <v>206.4</v>
      </c>
      <c r="H460" s="197">
        <v>206.4</v>
      </c>
    </row>
    <row r="461" spans="1:8" ht="31.5">
      <c r="A461" s="372" t="s">
        <v>577</v>
      </c>
      <c r="B461" s="372" t="s">
        <v>200</v>
      </c>
      <c r="C461" s="372" t="s">
        <v>6</v>
      </c>
      <c r="D461" s="372" t="s">
        <v>1076</v>
      </c>
      <c r="E461" s="373"/>
      <c r="F461" s="197">
        <v>206.4</v>
      </c>
      <c r="G461" s="197">
        <v>206.4</v>
      </c>
      <c r="H461" s="197">
        <v>206.4</v>
      </c>
    </row>
    <row r="462" spans="1:8" ht="63">
      <c r="A462" s="372" t="s">
        <v>1077</v>
      </c>
      <c r="B462" s="372" t="s">
        <v>200</v>
      </c>
      <c r="C462" s="372" t="s">
        <v>6</v>
      </c>
      <c r="D462" s="372" t="s">
        <v>1078</v>
      </c>
      <c r="E462" s="373"/>
      <c r="F462" s="197">
        <v>206.4</v>
      </c>
      <c r="G462" s="197">
        <v>206.4</v>
      </c>
      <c r="H462" s="197">
        <v>206.4</v>
      </c>
    </row>
    <row r="463" spans="1:8" ht="47.25">
      <c r="A463" s="372" t="s">
        <v>551</v>
      </c>
      <c r="B463" s="372" t="s">
        <v>200</v>
      </c>
      <c r="C463" s="372" t="s">
        <v>6</v>
      </c>
      <c r="D463" s="372" t="s">
        <v>1078</v>
      </c>
      <c r="E463" s="372" t="s">
        <v>266</v>
      </c>
      <c r="F463" s="197">
        <v>206.4</v>
      </c>
      <c r="G463" s="197">
        <v>206.4</v>
      </c>
      <c r="H463" s="197">
        <v>206.4</v>
      </c>
    </row>
    <row r="464" spans="1:8" ht="63">
      <c r="A464" s="372" t="s">
        <v>435</v>
      </c>
      <c r="B464" s="373"/>
      <c r="C464" s="373"/>
      <c r="D464" s="372" t="s">
        <v>390</v>
      </c>
      <c r="E464" s="373"/>
      <c r="F464" s="197">
        <v>32573.24091</v>
      </c>
      <c r="G464" s="197">
        <v>30798.90814</v>
      </c>
      <c r="H464" s="197">
        <v>24931.02</v>
      </c>
    </row>
    <row r="465" spans="1:8" ht="94.5">
      <c r="A465" s="372" t="s">
        <v>959</v>
      </c>
      <c r="B465" s="373"/>
      <c r="C465" s="373"/>
      <c r="D465" s="372" t="s">
        <v>391</v>
      </c>
      <c r="E465" s="373"/>
      <c r="F465" s="197">
        <v>14837.022000000001</v>
      </c>
      <c r="G465" s="197">
        <v>10579.23688</v>
      </c>
      <c r="H465" s="197">
        <v>7448.32</v>
      </c>
    </row>
    <row r="466" spans="1:8" ht="94.5">
      <c r="A466" s="372" t="s">
        <v>1079</v>
      </c>
      <c r="B466" s="373"/>
      <c r="C466" s="373"/>
      <c r="D466" s="372" t="s">
        <v>392</v>
      </c>
      <c r="E466" s="373"/>
      <c r="F466" s="197">
        <v>14837.022000000001</v>
      </c>
      <c r="G466" s="197">
        <v>10579.23688</v>
      </c>
      <c r="H466" s="197">
        <v>7448.32</v>
      </c>
    </row>
    <row r="467" spans="1:8" ht="63">
      <c r="A467" s="372" t="s">
        <v>658</v>
      </c>
      <c r="B467" s="372" t="s">
        <v>200</v>
      </c>
      <c r="C467" s="372" t="s">
        <v>204</v>
      </c>
      <c r="D467" s="372" t="s">
        <v>392</v>
      </c>
      <c r="E467" s="373"/>
      <c r="F467" s="197">
        <v>7538.32</v>
      </c>
      <c r="G467" s="197">
        <v>7448.32</v>
      </c>
      <c r="H467" s="197">
        <v>7448.32</v>
      </c>
    </row>
    <row r="468" spans="1:8" ht="63">
      <c r="A468" s="372" t="s">
        <v>962</v>
      </c>
      <c r="B468" s="372" t="s">
        <v>200</v>
      </c>
      <c r="C468" s="372" t="s">
        <v>204</v>
      </c>
      <c r="D468" s="372" t="s">
        <v>1080</v>
      </c>
      <c r="E468" s="373"/>
      <c r="F468" s="197">
        <v>7475.92</v>
      </c>
      <c r="G468" s="197">
        <v>7385.92</v>
      </c>
      <c r="H468" s="197">
        <v>7385.92</v>
      </c>
    </row>
    <row r="469" spans="1:8" ht="110.25">
      <c r="A469" s="372" t="s">
        <v>556</v>
      </c>
      <c r="B469" s="372" t="s">
        <v>200</v>
      </c>
      <c r="C469" s="372" t="s">
        <v>204</v>
      </c>
      <c r="D469" s="372" t="s">
        <v>1080</v>
      </c>
      <c r="E469" s="372" t="s">
        <v>265</v>
      </c>
      <c r="F469" s="197">
        <v>6470.82</v>
      </c>
      <c r="G469" s="197">
        <v>6470.82</v>
      </c>
      <c r="H469" s="197">
        <v>6470.82</v>
      </c>
    </row>
    <row r="470" spans="1:8" ht="47.25">
      <c r="A470" s="372" t="s">
        <v>551</v>
      </c>
      <c r="B470" s="372" t="s">
        <v>200</v>
      </c>
      <c r="C470" s="372" t="s">
        <v>204</v>
      </c>
      <c r="D470" s="372" t="s">
        <v>1080</v>
      </c>
      <c r="E470" s="372" t="s">
        <v>266</v>
      </c>
      <c r="F470" s="197">
        <v>993.9</v>
      </c>
      <c r="G470" s="197">
        <v>903.9</v>
      </c>
      <c r="H470" s="197">
        <v>903.9</v>
      </c>
    </row>
    <row r="471" spans="1:8">
      <c r="A471" s="372" t="s">
        <v>558</v>
      </c>
      <c r="B471" s="372" t="s">
        <v>200</v>
      </c>
      <c r="C471" s="372" t="s">
        <v>204</v>
      </c>
      <c r="D471" s="372" t="s">
        <v>1080</v>
      </c>
      <c r="E471" s="372" t="s">
        <v>267</v>
      </c>
      <c r="F471" s="197">
        <v>11.2</v>
      </c>
      <c r="G471" s="197">
        <v>11.2</v>
      </c>
      <c r="H471" s="197">
        <v>11.2</v>
      </c>
    </row>
    <row r="472" spans="1:8" ht="110.25">
      <c r="A472" s="372" t="s">
        <v>964</v>
      </c>
      <c r="B472" s="372" t="s">
        <v>200</v>
      </c>
      <c r="C472" s="372" t="s">
        <v>204</v>
      </c>
      <c r="D472" s="372" t="s">
        <v>1081</v>
      </c>
      <c r="E472" s="373"/>
      <c r="F472" s="197">
        <v>62.4</v>
      </c>
      <c r="G472" s="197">
        <v>62.4</v>
      </c>
      <c r="H472" s="197">
        <v>62.4</v>
      </c>
    </row>
    <row r="473" spans="1:8" ht="47.25">
      <c r="A473" s="372" t="s">
        <v>551</v>
      </c>
      <c r="B473" s="372" t="s">
        <v>200</v>
      </c>
      <c r="C473" s="372" t="s">
        <v>204</v>
      </c>
      <c r="D473" s="372" t="s">
        <v>1081</v>
      </c>
      <c r="E473" s="372" t="s">
        <v>266</v>
      </c>
      <c r="F473" s="197">
        <v>62.4</v>
      </c>
      <c r="G473" s="197">
        <v>62.4</v>
      </c>
      <c r="H473" s="197">
        <v>62.4</v>
      </c>
    </row>
    <row r="474" spans="1:8" ht="31.5">
      <c r="A474" s="372" t="s">
        <v>577</v>
      </c>
      <c r="B474" s="372" t="s">
        <v>200</v>
      </c>
      <c r="C474" s="372" t="s">
        <v>6</v>
      </c>
      <c r="D474" s="372" t="s">
        <v>392</v>
      </c>
      <c r="E474" s="373"/>
      <c r="F474" s="197">
        <v>7298.7020000000002</v>
      </c>
      <c r="G474" s="197">
        <v>3130.9168800000002</v>
      </c>
      <c r="H474" s="197">
        <v>0</v>
      </c>
    </row>
    <row r="475" spans="1:8" ht="47.25">
      <c r="A475" s="372" t="s">
        <v>867</v>
      </c>
      <c r="B475" s="372" t="s">
        <v>200</v>
      </c>
      <c r="C475" s="372" t="s">
        <v>6</v>
      </c>
      <c r="D475" s="372" t="s">
        <v>1082</v>
      </c>
      <c r="E475" s="373"/>
      <c r="F475" s="197">
        <v>510.23581000000001</v>
      </c>
      <c r="G475" s="197">
        <v>0</v>
      </c>
      <c r="H475" s="197">
        <v>0</v>
      </c>
    </row>
    <row r="476" spans="1:8" ht="47.25">
      <c r="A476" s="372" t="s">
        <v>547</v>
      </c>
      <c r="B476" s="372" t="s">
        <v>200</v>
      </c>
      <c r="C476" s="372" t="s">
        <v>6</v>
      </c>
      <c r="D476" s="372" t="s">
        <v>1082</v>
      </c>
      <c r="E476" s="372" t="s">
        <v>268</v>
      </c>
      <c r="F476" s="197">
        <v>510.23581000000001</v>
      </c>
      <c r="G476" s="197">
        <v>0</v>
      </c>
      <c r="H476" s="197">
        <v>0</v>
      </c>
    </row>
    <row r="477" spans="1:8" ht="94.5">
      <c r="A477" s="372" t="s">
        <v>1083</v>
      </c>
      <c r="B477" s="372" t="s">
        <v>200</v>
      </c>
      <c r="C477" s="372" t="s">
        <v>6</v>
      </c>
      <c r="D477" s="372" t="s">
        <v>1084</v>
      </c>
      <c r="E477" s="373"/>
      <c r="F477" s="197">
        <v>4897.1481899999999</v>
      </c>
      <c r="G477" s="197">
        <v>3130.9168800000002</v>
      </c>
      <c r="H477" s="197">
        <v>0</v>
      </c>
    </row>
    <row r="478" spans="1:8" ht="47.25">
      <c r="A478" s="372" t="s">
        <v>547</v>
      </c>
      <c r="B478" s="372" t="s">
        <v>200</v>
      </c>
      <c r="C478" s="372" t="s">
        <v>6</v>
      </c>
      <c r="D478" s="372" t="s">
        <v>1084</v>
      </c>
      <c r="E478" s="372" t="s">
        <v>268</v>
      </c>
      <c r="F478" s="197">
        <v>4897.1481899999999</v>
      </c>
      <c r="G478" s="197">
        <v>3130.9168800000002</v>
      </c>
      <c r="H478" s="197">
        <v>0</v>
      </c>
    </row>
    <row r="479" spans="1:8" ht="63">
      <c r="A479" s="372" t="s">
        <v>1364</v>
      </c>
      <c r="B479" s="372" t="s">
        <v>200</v>
      </c>
      <c r="C479" s="372" t="s">
        <v>6</v>
      </c>
      <c r="D479" s="372" t="s">
        <v>1365</v>
      </c>
      <c r="E479" s="373"/>
      <c r="F479" s="197">
        <v>1891.318</v>
      </c>
      <c r="G479" s="197">
        <v>0</v>
      </c>
      <c r="H479" s="197">
        <v>0</v>
      </c>
    </row>
    <row r="480" spans="1:8" ht="47.25">
      <c r="A480" s="372" t="s">
        <v>547</v>
      </c>
      <c r="B480" s="372" t="s">
        <v>200</v>
      </c>
      <c r="C480" s="372" t="s">
        <v>6</v>
      </c>
      <c r="D480" s="372" t="s">
        <v>1365</v>
      </c>
      <c r="E480" s="372" t="s">
        <v>268</v>
      </c>
      <c r="F480" s="197">
        <v>1891.318</v>
      </c>
      <c r="G480" s="197">
        <v>0</v>
      </c>
      <c r="H480" s="197">
        <v>0</v>
      </c>
    </row>
    <row r="481" spans="1:8" ht="47.25">
      <c r="A481" s="372" t="s">
        <v>1085</v>
      </c>
      <c r="B481" s="373"/>
      <c r="C481" s="373"/>
      <c r="D481" s="372" t="s">
        <v>393</v>
      </c>
      <c r="E481" s="373"/>
      <c r="F481" s="197">
        <v>17736.21891</v>
      </c>
      <c r="G481" s="197">
        <v>20219.671259999999</v>
      </c>
      <c r="H481" s="197">
        <v>17482.7</v>
      </c>
    </row>
    <row r="482" spans="1:8" ht="63">
      <c r="A482" s="372" t="s">
        <v>1086</v>
      </c>
      <c r="B482" s="373"/>
      <c r="C482" s="373"/>
      <c r="D482" s="372" t="s">
        <v>394</v>
      </c>
      <c r="E482" s="373"/>
      <c r="F482" s="197">
        <v>17736.21891</v>
      </c>
      <c r="G482" s="197">
        <v>20219.671259999999</v>
      </c>
      <c r="H482" s="197">
        <v>17482.7</v>
      </c>
    </row>
    <row r="483" spans="1:8" ht="31.5">
      <c r="A483" s="372" t="s">
        <v>659</v>
      </c>
      <c r="B483" s="372" t="s">
        <v>6</v>
      </c>
      <c r="C483" s="372" t="s">
        <v>200</v>
      </c>
      <c r="D483" s="372" t="s">
        <v>394</v>
      </c>
      <c r="E483" s="373"/>
      <c r="F483" s="197">
        <v>17736.21891</v>
      </c>
      <c r="G483" s="197">
        <v>20219.671259999999</v>
      </c>
      <c r="H483" s="197">
        <v>17482.7</v>
      </c>
    </row>
    <row r="484" spans="1:8" ht="31.5">
      <c r="A484" s="372" t="s">
        <v>1087</v>
      </c>
      <c r="B484" s="372" t="s">
        <v>6</v>
      </c>
      <c r="C484" s="372" t="s">
        <v>200</v>
      </c>
      <c r="D484" s="372" t="s">
        <v>395</v>
      </c>
      <c r="E484" s="373"/>
      <c r="F484" s="197">
        <v>17736.21891</v>
      </c>
      <c r="G484" s="197">
        <v>20219.671259999999</v>
      </c>
      <c r="H484" s="197">
        <v>17482.7</v>
      </c>
    </row>
    <row r="485" spans="1:8" ht="31.5">
      <c r="A485" s="372" t="s">
        <v>660</v>
      </c>
      <c r="B485" s="372" t="s">
        <v>6</v>
      </c>
      <c r="C485" s="372" t="s">
        <v>200</v>
      </c>
      <c r="D485" s="372" t="s">
        <v>395</v>
      </c>
      <c r="E485" s="372" t="s">
        <v>269</v>
      </c>
      <c r="F485" s="197">
        <v>17736.21891</v>
      </c>
      <c r="G485" s="197">
        <v>20219.671259999999</v>
      </c>
      <c r="H485" s="197">
        <v>17482.7</v>
      </c>
    </row>
    <row r="486" spans="1:8" ht="63">
      <c r="A486" s="372" t="s">
        <v>436</v>
      </c>
      <c r="B486" s="373"/>
      <c r="C486" s="373"/>
      <c r="D486" s="372" t="s">
        <v>396</v>
      </c>
      <c r="E486" s="373"/>
      <c r="F486" s="197">
        <v>51756.210350000001</v>
      </c>
      <c r="G486" s="197">
        <v>49766.589</v>
      </c>
      <c r="H486" s="197">
        <v>49766.589</v>
      </c>
    </row>
    <row r="487" spans="1:8" ht="63">
      <c r="A487" s="372" t="s">
        <v>1088</v>
      </c>
      <c r="B487" s="373"/>
      <c r="C487" s="373"/>
      <c r="D487" s="372" t="s">
        <v>397</v>
      </c>
      <c r="E487" s="373"/>
      <c r="F487" s="197">
        <v>51356.210350000001</v>
      </c>
      <c r="G487" s="197">
        <v>49366.589</v>
      </c>
      <c r="H487" s="197">
        <v>49366.589</v>
      </c>
    </row>
    <row r="488" spans="1:8" ht="78.75">
      <c r="A488" s="372" t="s">
        <v>960</v>
      </c>
      <c r="B488" s="373"/>
      <c r="C488" s="373"/>
      <c r="D488" s="372" t="s">
        <v>398</v>
      </c>
      <c r="E488" s="373"/>
      <c r="F488" s="197">
        <v>41205.571799999998</v>
      </c>
      <c r="G488" s="197">
        <v>39658.964</v>
      </c>
      <c r="H488" s="197">
        <v>39658.964</v>
      </c>
    </row>
    <row r="489" spans="1:8" ht="63">
      <c r="A489" s="372" t="s">
        <v>661</v>
      </c>
      <c r="B489" s="372" t="s">
        <v>200</v>
      </c>
      <c r="C489" s="372" t="s">
        <v>198</v>
      </c>
      <c r="D489" s="372" t="s">
        <v>398</v>
      </c>
      <c r="E489" s="373"/>
      <c r="F489" s="197">
        <v>1379.943</v>
      </c>
      <c r="G489" s="197">
        <v>1379.943</v>
      </c>
      <c r="H489" s="197">
        <v>1379.943</v>
      </c>
    </row>
    <row r="490" spans="1:8" ht="31.5">
      <c r="A490" s="372" t="s">
        <v>662</v>
      </c>
      <c r="B490" s="372" t="s">
        <v>200</v>
      </c>
      <c r="C490" s="372" t="s">
        <v>198</v>
      </c>
      <c r="D490" s="372" t="s">
        <v>399</v>
      </c>
      <c r="E490" s="373"/>
      <c r="F490" s="197">
        <v>1379.943</v>
      </c>
      <c r="G490" s="197">
        <v>1379.943</v>
      </c>
      <c r="H490" s="197">
        <v>1379.943</v>
      </c>
    </row>
    <row r="491" spans="1:8" ht="110.25">
      <c r="A491" s="372" t="s">
        <v>556</v>
      </c>
      <c r="B491" s="372" t="s">
        <v>200</v>
      </c>
      <c r="C491" s="372" t="s">
        <v>198</v>
      </c>
      <c r="D491" s="372" t="s">
        <v>399</v>
      </c>
      <c r="E491" s="372" t="s">
        <v>265</v>
      </c>
      <c r="F491" s="197">
        <v>1379.943</v>
      </c>
      <c r="G491" s="197">
        <v>1379.943</v>
      </c>
      <c r="H491" s="197">
        <v>1379.943</v>
      </c>
    </row>
    <row r="492" spans="1:8" ht="94.5">
      <c r="A492" s="372" t="s">
        <v>663</v>
      </c>
      <c r="B492" s="372" t="s">
        <v>200</v>
      </c>
      <c r="C492" s="372" t="s">
        <v>195</v>
      </c>
      <c r="D492" s="372" t="s">
        <v>398</v>
      </c>
      <c r="E492" s="373"/>
      <c r="F492" s="197">
        <v>39825.628799999999</v>
      </c>
      <c r="G492" s="197">
        <v>38279.021000000001</v>
      </c>
      <c r="H492" s="197">
        <v>38279.021000000001</v>
      </c>
    </row>
    <row r="493" spans="1:8" ht="63">
      <c r="A493" s="372" t="s">
        <v>962</v>
      </c>
      <c r="B493" s="372" t="s">
        <v>200</v>
      </c>
      <c r="C493" s="372" t="s">
        <v>195</v>
      </c>
      <c r="D493" s="372" t="s">
        <v>400</v>
      </c>
      <c r="E493" s="373"/>
      <c r="F493" s="197">
        <v>39825.628799999999</v>
      </c>
      <c r="G493" s="197">
        <v>38279.021000000001</v>
      </c>
      <c r="H493" s="197">
        <v>38279.021000000001</v>
      </c>
    </row>
    <row r="494" spans="1:8" ht="110.25">
      <c r="A494" s="372" t="s">
        <v>556</v>
      </c>
      <c r="B494" s="372" t="s">
        <v>200</v>
      </c>
      <c r="C494" s="372" t="s">
        <v>195</v>
      </c>
      <c r="D494" s="372" t="s">
        <v>400</v>
      </c>
      <c r="E494" s="372" t="s">
        <v>265</v>
      </c>
      <c r="F494" s="197">
        <v>30826.705999999998</v>
      </c>
      <c r="G494" s="197">
        <v>30800.2</v>
      </c>
      <c r="H494" s="197">
        <v>30800.2</v>
      </c>
    </row>
    <row r="495" spans="1:8" ht="47.25">
      <c r="A495" s="372" t="s">
        <v>551</v>
      </c>
      <c r="B495" s="372" t="s">
        <v>200</v>
      </c>
      <c r="C495" s="372" t="s">
        <v>195</v>
      </c>
      <c r="D495" s="372" t="s">
        <v>400</v>
      </c>
      <c r="E495" s="372" t="s">
        <v>266</v>
      </c>
      <c r="F495" s="197">
        <v>8691.0468000000001</v>
      </c>
      <c r="G495" s="197">
        <v>7251.1210000000001</v>
      </c>
      <c r="H495" s="197">
        <v>7251.1210000000001</v>
      </c>
    </row>
    <row r="496" spans="1:8" ht="31.5">
      <c r="A496" s="372" t="s">
        <v>552</v>
      </c>
      <c r="B496" s="372" t="s">
        <v>200</v>
      </c>
      <c r="C496" s="372" t="s">
        <v>195</v>
      </c>
      <c r="D496" s="372" t="s">
        <v>400</v>
      </c>
      <c r="E496" s="372" t="s">
        <v>271</v>
      </c>
      <c r="F496" s="197">
        <v>29.175999999999998</v>
      </c>
      <c r="G496" s="197">
        <v>0</v>
      </c>
      <c r="H496" s="197">
        <v>0</v>
      </c>
    </row>
    <row r="497" spans="1:8">
      <c r="A497" s="372" t="s">
        <v>558</v>
      </c>
      <c r="B497" s="372" t="s">
        <v>200</v>
      </c>
      <c r="C497" s="372" t="s">
        <v>195</v>
      </c>
      <c r="D497" s="372" t="s">
        <v>400</v>
      </c>
      <c r="E497" s="372" t="s">
        <v>267</v>
      </c>
      <c r="F497" s="197">
        <v>278.7</v>
      </c>
      <c r="G497" s="197">
        <v>227.7</v>
      </c>
      <c r="H497" s="197">
        <v>227.7</v>
      </c>
    </row>
    <row r="498" spans="1:8" ht="63">
      <c r="A498" s="372" t="s">
        <v>666</v>
      </c>
      <c r="B498" s="373"/>
      <c r="C498" s="373"/>
      <c r="D498" s="372" t="s">
        <v>401</v>
      </c>
      <c r="E498" s="373"/>
      <c r="F498" s="197">
        <v>1508.5630000000001</v>
      </c>
      <c r="G498" s="197">
        <v>1453.627</v>
      </c>
      <c r="H498" s="197">
        <v>1453.627</v>
      </c>
    </row>
    <row r="499" spans="1:8" ht="94.5">
      <c r="A499" s="372" t="s">
        <v>663</v>
      </c>
      <c r="B499" s="372" t="s">
        <v>200</v>
      </c>
      <c r="C499" s="372" t="s">
        <v>195</v>
      </c>
      <c r="D499" s="372" t="s">
        <v>401</v>
      </c>
      <c r="E499" s="373"/>
      <c r="F499" s="197">
        <v>1475.365</v>
      </c>
      <c r="G499" s="197">
        <v>1420.4290000000001</v>
      </c>
      <c r="H499" s="197">
        <v>1420.4290000000001</v>
      </c>
    </row>
    <row r="500" spans="1:8" ht="63">
      <c r="A500" s="372" t="s">
        <v>668</v>
      </c>
      <c r="B500" s="372" t="s">
        <v>200</v>
      </c>
      <c r="C500" s="372" t="s">
        <v>195</v>
      </c>
      <c r="D500" s="372" t="s">
        <v>403</v>
      </c>
      <c r="E500" s="373"/>
      <c r="F500" s="197">
        <v>1475.365</v>
      </c>
      <c r="G500" s="197">
        <v>1420.4290000000001</v>
      </c>
      <c r="H500" s="197">
        <v>1420.4290000000001</v>
      </c>
    </row>
    <row r="501" spans="1:8" ht="110.25">
      <c r="A501" s="372" t="s">
        <v>556</v>
      </c>
      <c r="B501" s="372" t="s">
        <v>200</v>
      </c>
      <c r="C501" s="372" t="s">
        <v>195</v>
      </c>
      <c r="D501" s="372" t="s">
        <v>403</v>
      </c>
      <c r="E501" s="372" t="s">
        <v>265</v>
      </c>
      <c r="F501" s="197">
        <v>991.35799999999995</v>
      </c>
      <c r="G501" s="197">
        <v>978.7</v>
      </c>
      <c r="H501" s="197">
        <v>978.7</v>
      </c>
    </row>
    <row r="502" spans="1:8" ht="47.25">
      <c r="A502" s="372" t="s">
        <v>551</v>
      </c>
      <c r="B502" s="372" t="s">
        <v>200</v>
      </c>
      <c r="C502" s="372" t="s">
        <v>195</v>
      </c>
      <c r="D502" s="372" t="s">
        <v>403</v>
      </c>
      <c r="E502" s="372" t="s">
        <v>266</v>
      </c>
      <c r="F502" s="197">
        <v>484.00700000000001</v>
      </c>
      <c r="G502" s="197">
        <v>441.72899999999998</v>
      </c>
      <c r="H502" s="197">
        <v>441.72899999999998</v>
      </c>
    </row>
    <row r="503" spans="1:8" ht="31.5">
      <c r="A503" s="372" t="s">
        <v>577</v>
      </c>
      <c r="B503" s="372" t="s">
        <v>200</v>
      </c>
      <c r="C503" s="372" t="s">
        <v>6</v>
      </c>
      <c r="D503" s="372" t="s">
        <v>401</v>
      </c>
      <c r="E503" s="373"/>
      <c r="F503" s="197">
        <v>33.198</v>
      </c>
      <c r="G503" s="197">
        <v>33.198</v>
      </c>
      <c r="H503" s="197">
        <v>33.198</v>
      </c>
    </row>
    <row r="504" spans="1:8" ht="47.25">
      <c r="A504" s="372" t="s">
        <v>667</v>
      </c>
      <c r="B504" s="372" t="s">
        <v>200</v>
      </c>
      <c r="C504" s="372" t="s">
        <v>6</v>
      </c>
      <c r="D504" s="372" t="s">
        <v>402</v>
      </c>
      <c r="E504" s="373"/>
      <c r="F504" s="197">
        <v>33.198</v>
      </c>
      <c r="G504" s="197">
        <v>33.198</v>
      </c>
      <c r="H504" s="197">
        <v>33.198</v>
      </c>
    </row>
    <row r="505" spans="1:8" ht="47.25">
      <c r="A505" s="372" t="s">
        <v>551</v>
      </c>
      <c r="B505" s="372" t="s">
        <v>200</v>
      </c>
      <c r="C505" s="372" t="s">
        <v>6</v>
      </c>
      <c r="D505" s="372" t="s">
        <v>402</v>
      </c>
      <c r="E505" s="372" t="s">
        <v>266</v>
      </c>
      <c r="F505" s="197">
        <v>33.198</v>
      </c>
      <c r="G505" s="197">
        <v>33.198</v>
      </c>
      <c r="H505" s="197">
        <v>33.198</v>
      </c>
    </row>
    <row r="506" spans="1:8" ht="94.5">
      <c r="A506" s="372" t="s">
        <v>1089</v>
      </c>
      <c r="B506" s="373"/>
      <c r="C506" s="373"/>
      <c r="D506" s="372" t="s">
        <v>1090</v>
      </c>
      <c r="E506" s="373"/>
      <c r="F506" s="197">
        <v>6879.1555500000004</v>
      </c>
      <c r="G506" s="197">
        <v>6492.9059999999999</v>
      </c>
      <c r="H506" s="197">
        <v>6492.9059999999999</v>
      </c>
    </row>
    <row r="507" spans="1:8" ht="31.5">
      <c r="A507" s="372" t="s">
        <v>577</v>
      </c>
      <c r="B507" s="372" t="s">
        <v>200</v>
      </c>
      <c r="C507" s="372" t="s">
        <v>6</v>
      </c>
      <c r="D507" s="372" t="s">
        <v>1090</v>
      </c>
      <c r="E507" s="373"/>
      <c r="F507" s="197">
        <v>6879.1555500000004</v>
      </c>
      <c r="G507" s="197">
        <v>6492.9059999999999</v>
      </c>
      <c r="H507" s="197">
        <v>6492.9059999999999</v>
      </c>
    </row>
    <row r="508" spans="1:8" ht="63">
      <c r="A508" s="372" t="s">
        <v>918</v>
      </c>
      <c r="B508" s="372" t="s">
        <v>200</v>
      </c>
      <c r="C508" s="372" t="s">
        <v>6</v>
      </c>
      <c r="D508" s="372" t="s">
        <v>1091</v>
      </c>
      <c r="E508" s="373"/>
      <c r="F508" s="197">
        <v>6716.1555500000004</v>
      </c>
      <c r="G508" s="197">
        <v>6492.9059999999999</v>
      </c>
      <c r="H508" s="197">
        <v>6492.9059999999999</v>
      </c>
    </row>
    <row r="509" spans="1:8" ht="110.25">
      <c r="A509" s="372" t="s">
        <v>556</v>
      </c>
      <c r="B509" s="372" t="s">
        <v>200</v>
      </c>
      <c r="C509" s="372" t="s">
        <v>6</v>
      </c>
      <c r="D509" s="372" t="s">
        <v>1091</v>
      </c>
      <c r="E509" s="372" t="s">
        <v>265</v>
      </c>
      <c r="F509" s="197">
        <v>5111.9816199999996</v>
      </c>
      <c r="G509" s="197">
        <v>5027.7759999999998</v>
      </c>
      <c r="H509" s="197">
        <v>5027.7759999999998</v>
      </c>
    </row>
    <row r="510" spans="1:8" ht="47.25">
      <c r="A510" s="372" t="s">
        <v>551</v>
      </c>
      <c r="B510" s="372" t="s">
        <v>200</v>
      </c>
      <c r="C510" s="372" t="s">
        <v>6</v>
      </c>
      <c r="D510" s="372" t="s">
        <v>1091</v>
      </c>
      <c r="E510" s="372" t="s">
        <v>266</v>
      </c>
      <c r="F510" s="197">
        <v>1590.6639299999999</v>
      </c>
      <c r="G510" s="197">
        <v>1450.9880000000001</v>
      </c>
      <c r="H510" s="197">
        <v>1450.9880000000001</v>
      </c>
    </row>
    <row r="511" spans="1:8">
      <c r="A511" s="372" t="s">
        <v>558</v>
      </c>
      <c r="B511" s="372" t="s">
        <v>200</v>
      </c>
      <c r="C511" s="372" t="s">
        <v>6</v>
      </c>
      <c r="D511" s="372" t="s">
        <v>1091</v>
      </c>
      <c r="E511" s="372" t="s">
        <v>267</v>
      </c>
      <c r="F511" s="197">
        <v>13.51</v>
      </c>
      <c r="G511" s="197">
        <v>14.141999999999999</v>
      </c>
      <c r="H511" s="197">
        <v>14.141999999999999</v>
      </c>
    </row>
    <row r="512" spans="1:8" ht="63">
      <c r="A512" s="372" t="s">
        <v>1173</v>
      </c>
      <c r="B512" s="372" t="s">
        <v>200</v>
      </c>
      <c r="C512" s="372" t="s">
        <v>6</v>
      </c>
      <c r="D512" s="372" t="s">
        <v>1174</v>
      </c>
      <c r="E512" s="373"/>
      <c r="F512" s="197">
        <v>163</v>
      </c>
      <c r="G512" s="197">
        <v>0</v>
      </c>
      <c r="H512" s="197">
        <v>0</v>
      </c>
    </row>
    <row r="513" spans="1:8" ht="47.25">
      <c r="A513" s="372" t="s">
        <v>551</v>
      </c>
      <c r="B513" s="372" t="s">
        <v>200</v>
      </c>
      <c r="C513" s="372" t="s">
        <v>6</v>
      </c>
      <c r="D513" s="372" t="s">
        <v>1174</v>
      </c>
      <c r="E513" s="372" t="s">
        <v>266</v>
      </c>
      <c r="F513" s="197">
        <v>163</v>
      </c>
      <c r="G513" s="197">
        <v>0</v>
      </c>
      <c r="H513" s="197">
        <v>0</v>
      </c>
    </row>
    <row r="514" spans="1:8" ht="63">
      <c r="A514" s="372" t="s">
        <v>1092</v>
      </c>
      <c r="B514" s="373"/>
      <c r="C514" s="373"/>
      <c r="D514" s="372" t="s">
        <v>1093</v>
      </c>
      <c r="E514" s="373"/>
      <c r="F514" s="197">
        <v>1542.42</v>
      </c>
      <c r="G514" s="197">
        <v>1540.5920000000001</v>
      </c>
      <c r="H514" s="197">
        <v>1540.5920000000001</v>
      </c>
    </row>
    <row r="515" spans="1:8">
      <c r="A515" s="372" t="s">
        <v>638</v>
      </c>
      <c r="B515" s="372" t="s">
        <v>196</v>
      </c>
      <c r="C515" s="372" t="s">
        <v>200</v>
      </c>
      <c r="D515" s="372" t="s">
        <v>1093</v>
      </c>
      <c r="E515" s="373"/>
      <c r="F515" s="197">
        <v>1542.42</v>
      </c>
      <c r="G515" s="197">
        <v>1540.5920000000001</v>
      </c>
      <c r="H515" s="197">
        <v>1540.5920000000001</v>
      </c>
    </row>
    <row r="516" spans="1:8" ht="47.25">
      <c r="A516" s="372" t="s">
        <v>867</v>
      </c>
      <c r="B516" s="372" t="s">
        <v>196</v>
      </c>
      <c r="C516" s="372" t="s">
        <v>200</v>
      </c>
      <c r="D516" s="372" t="s">
        <v>1094</v>
      </c>
      <c r="E516" s="373"/>
      <c r="F516" s="197">
        <v>36.804000000000002</v>
      </c>
      <c r="G516" s="197">
        <v>36.804000000000002</v>
      </c>
      <c r="H516" s="197">
        <v>36.804000000000002</v>
      </c>
    </row>
    <row r="517" spans="1:8" ht="47.25">
      <c r="A517" s="372" t="s">
        <v>547</v>
      </c>
      <c r="B517" s="372" t="s">
        <v>196</v>
      </c>
      <c r="C517" s="372" t="s">
        <v>200</v>
      </c>
      <c r="D517" s="372" t="s">
        <v>1094</v>
      </c>
      <c r="E517" s="372" t="s">
        <v>268</v>
      </c>
      <c r="F517" s="197">
        <v>36.804000000000002</v>
      </c>
      <c r="G517" s="197">
        <v>36.804000000000002</v>
      </c>
      <c r="H517" s="197">
        <v>36.804000000000002</v>
      </c>
    </row>
    <row r="518" spans="1:8" ht="47.25">
      <c r="A518" s="372" t="s">
        <v>1095</v>
      </c>
      <c r="B518" s="372" t="s">
        <v>196</v>
      </c>
      <c r="C518" s="372" t="s">
        <v>200</v>
      </c>
      <c r="D518" s="372" t="s">
        <v>1096</v>
      </c>
      <c r="E518" s="373"/>
      <c r="F518" s="197">
        <v>1505.616</v>
      </c>
      <c r="G518" s="197">
        <v>1503.788</v>
      </c>
      <c r="H518" s="197">
        <v>1503.788</v>
      </c>
    </row>
    <row r="519" spans="1:8" ht="47.25">
      <c r="A519" s="372" t="s">
        <v>547</v>
      </c>
      <c r="B519" s="372" t="s">
        <v>196</v>
      </c>
      <c r="C519" s="372" t="s">
        <v>200</v>
      </c>
      <c r="D519" s="372" t="s">
        <v>1096</v>
      </c>
      <c r="E519" s="372" t="s">
        <v>268</v>
      </c>
      <c r="F519" s="197">
        <v>1505.616</v>
      </c>
      <c r="G519" s="197">
        <v>1503.788</v>
      </c>
      <c r="H519" s="197">
        <v>1503.788</v>
      </c>
    </row>
    <row r="520" spans="1:8" ht="63">
      <c r="A520" s="372" t="s">
        <v>1097</v>
      </c>
      <c r="B520" s="373"/>
      <c r="C520" s="373"/>
      <c r="D520" s="372" t="s">
        <v>1098</v>
      </c>
      <c r="E520" s="373"/>
      <c r="F520" s="197">
        <v>220.5</v>
      </c>
      <c r="G520" s="197">
        <v>220.5</v>
      </c>
      <c r="H520" s="197">
        <v>220.5</v>
      </c>
    </row>
    <row r="521" spans="1:8" ht="94.5">
      <c r="A521" s="372" t="s">
        <v>663</v>
      </c>
      <c r="B521" s="372" t="s">
        <v>200</v>
      </c>
      <c r="C521" s="372" t="s">
        <v>195</v>
      </c>
      <c r="D521" s="372" t="s">
        <v>1098</v>
      </c>
      <c r="E521" s="373"/>
      <c r="F521" s="197">
        <v>220.5</v>
      </c>
      <c r="G521" s="197">
        <v>220.5</v>
      </c>
      <c r="H521" s="197">
        <v>220.5</v>
      </c>
    </row>
    <row r="522" spans="1:8" ht="110.25">
      <c r="A522" s="372" t="s">
        <v>964</v>
      </c>
      <c r="B522" s="372" t="s">
        <v>200</v>
      </c>
      <c r="C522" s="372" t="s">
        <v>195</v>
      </c>
      <c r="D522" s="372" t="s">
        <v>1099</v>
      </c>
      <c r="E522" s="373"/>
      <c r="F522" s="197">
        <v>220.5</v>
      </c>
      <c r="G522" s="197">
        <v>220.5</v>
      </c>
      <c r="H522" s="197">
        <v>220.5</v>
      </c>
    </row>
    <row r="523" spans="1:8" ht="47.25">
      <c r="A523" s="372" t="s">
        <v>551</v>
      </c>
      <c r="B523" s="372" t="s">
        <v>200</v>
      </c>
      <c r="C523" s="372" t="s">
        <v>195</v>
      </c>
      <c r="D523" s="372" t="s">
        <v>1099</v>
      </c>
      <c r="E523" s="372" t="s">
        <v>266</v>
      </c>
      <c r="F523" s="197">
        <v>220.5</v>
      </c>
      <c r="G523" s="197">
        <v>220.5</v>
      </c>
      <c r="H523" s="197">
        <v>220.5</v>
      </c>
    </row>
    <row r="524" spans="1:8" ht="31.5">
      <c r="A524" s="372" t="s">
        <v>669</v>
      </c>
      <c r="B524" s="373"/>
      <c r="C524" s="373"/>
      <c r="D524" s="372" t="s">
        <v>404</v>
      </c>
      <c r="E524" s="373"/>
      <c r="F524" s="197">
        <v>400</v>
      </c>
      <c r="G524" s="197">
        <v>400</v>
      </c>
      <c r="H524" s="197">
        <v>400</v>
      </c>
    </row>
    <row r="525" spans="1:8" ht="94.5">
      <c r="A525" s="372" t="s">
        <v>1205</v>
      </c>
      <c r="B525" s="373"/>
      <c r="C525" s="373"/>
      <c r="D525" s="372" t="s">
        <v>405</v>
      </c>
      <c r="E525" s="373"/>
      <c r="F525" s="197">
        <v>400</v>
      </c>
      <c r="G525" s="197">
        <v>400</v>
      </c>
      <c r="H525" s="197">
        <v>400</v>
      </c>
    </row>
    <row r="526" spans="1:8" ht="31.5">
      <c r="A526" s="372" t="s">
        <v>577</v>
      </c>
      <c r="B526" s="372" t="s">
        <v>200</v>
      </c>
      <c r="C526" s="372" t="s">
        <v>6</v>
      </c>
      <c r="D526" s="372" t="s">
        <v>405</v>
      </c>
      <c r="E526" s="373"/>
      <c r="F526" s="197">
        <v>150</v>
      </c>
      <c r="G526" s="197">
        <v>150</v>
      </c>
      <c r="H526" s="197">
        <v>150</v>
      </c>
    </row>
    <row r="527" spans="1:8" ht="47.25">
      <c r="A527" s="372" t="s">
        <v>671</v>
      </c>
      <c r="B527" s="372" t="s">
        <v>200</v>
      </c>
      <c r="C527" s="372" t="s">
        <v>6</v>
      </c>
      <c r="D527" s="372" t="s">
        <v>1100</v>
      </c>
      <c r="E527" s="373"/>
      <c r="F527" s="197">
        <v>150</v>
      </c>
      <c r="G527" s="197">
        <v>150</v>
      </c>
      <c r="H527" s="197">
        <v>150</v>
      </c>
    </row>
    <row r="528" spans="1:8" ht="110.25">
      <c r="A528" s="372" t="s">
        <v>556</v>
      </c>
      <c r="B528" s="372" t="s">
        <v>200</v>
      </c>
      <c r="C528" s="372" t="s">
        <v>6</v>
      </c>
      <c r="D528" s="372" t="s">
        <v>1100</v>
      </c>
      <c r="E528" s="372" t="s">
        <v>265</v>
      </c>
      <c r="F528" s="197">
        <v>15</v>
      </c>
      <c r="G528" s="197">
        <v>0</v>
      </c>
      <c r="H528" s="197">
        <v>0</v>
      </c>
    </row>
    <row r="529" spans="1:8" ht="47.25">
      <c r="A529" s="372" t="s">
        <v>547</v>
      </c>
      <c r="B529" s="372" t="s">
        <v>200</v>
      </c>
      <c r="C529" s="372" t="s">
        <v>6</v>
      </c>
      <c r="D529" s="372" t="s">
        <v>1100</v>
      </c>
      <c r="E529" s="372" t="s">
        <v>268</v>
      </c>
      <c r="F529" s="197">
        <v>135</v>
      </c>
      <c r="G529" s="197">
        <v>100</v>
      </c>
      <c r="H529" s="197">
        <v>100</v>
      </c>
    </row>
    <row r="530" spans="1:8">
      <c r="A530" s="372" t="s">
        <v>558</v>
      </c>
      <c r="B530" s="372" t="s">
        <v>200</v>
      </c>
      <c r="C530" s="372" t="s">
        <v>6</v>
      </c>
      <c r="D530" s="372" t="s">
        <v>1100</v>
      </c>
      <c r="E530" s="372" t="s">
        <v>267</v>
      </c>
      <c r="F530" s="197">
        <v>0</v>
      </c>
      <c r="G530" s="197">
        <v>50</v>
      </c>
      <c r="H530" s="197">
        <v>50</v>
      </c>
    </row>
    <row r="531" spans="1:8">
      <c r="A531" s="372" t="s">
        <v>594</v>
      </c>
      <c r="B531" s="372" t="s">
        <v>203</v>
      </c>
      <c r="C531" s="372" t="s">
        <v>202</v>
      </c>
      <c r="D531" s="372" t="s">
        <v>405</v>
      </c>
      <c r="E531" s="373"/>
      <c r="F531" s="197">
        <v>250</v>
      </c>
      <c r="G531" s="197">
        <v>250</v>
      </c>
      <c r="H531" s="197">
        <v>250</v>
      </c>
    </row>
    <row r="532" spans="1:8" ht="47.25">
      <c r="A532" s="372" t="s">
        <v>670</v>
      </c>
      <c r="B532" s="372" t="s">
        <v>203</v>
      </c>
      <c r="C532" s="372" t="s">
        <v>202</v>
      </c>
      <c r="D532" s="372" t="s">
        <v>1101</v>
      </c>
      <c r="E532" s="373"/>
      <c r="F532" s="197">
        <v>250</v>
      </c>
      <c r="G532" s="197">
        <v>250</v>
      </c>
      <c r="H532" s="197">
        <v>250</v>
      </c>
    </row>
    <row r="533" spans="1:8" ht="47.25">
      <c r="A533" s="372" t="s">
        <v>547</v>
      </c>
      <c r="B533" s="372" t="s">
        <v>203</v>
      </c>
      <c r="C533" s="372" t="s">
        <v>202</v>
      </c>
      <c r="D533" s="372" t="s">
        <v>1101</v>
      </c>
      <c r="E533" s="372" t="s">
        <v>268</v>
      </c>
      <c r="F533" s="197">
        <v>250</v>
      </c>
      <c r="G533" s="197">
        <v>250</v>
      </c>
      <c r="H533" s="197">
        <v>250</v>
      </c>
    </row>
    <row r="534" spans="1:8" ht="47.25">
      <c r="A534" s="372" t="s">
        <v>1220</v>
      </c>
      <c r="B534" s="373"/>
      <c r="C534" s="373"/>
      <c r="D534" s="372" t="s">
        <v>1221</v>
      </c>
      <c r="E534" s="373"/>
      <c r="F534" s="197">
        <v>25189.201560000001</v>
      </c>
      <c r="G534" s="197">
        <v>3723.4287399999998</v>
      </c>
      <c r="H534" s="197">
        <v>0</v>
      </c>
    </row>
    <row r="535" spans="1:8" ht="47.25">
      <c r="A535" s="372" t="s">
        <v>1432</v>
      </c>
      <c r="B535" s="373"/>
      <c r="C535" s="373"/>
      <c r="D535" s="372" t="s">
        <v>1221</v>
      </c>
      <c r="E535" s="373"/>
      <c r="F535" s="197">
        <v>1233.41167</v>
      </c>
      <c r="G535" s="197">
        <v>2000</v>
      </c>
      <c r="H535" s="197">
        <v>0</v>
      </c>
    </row>
    <row r="536" spans="1:8" ht="47.25">
      <c r="A536" s="372" t="s">
        <v>1513</v>
      </c>
      <c r="B536" s="373"/>
      <c r="C536" s="373"/>
      <c r="D536" s="372" t="s">
        <v>1514</v>
      </c>
      <c r="E536" s="373"/>
      <c r="F536" s="197">
        <v>1000</v>
      </c>
      <c r="G536" s="197">
        <v>2000</v>
      </c>
      <c r="H536" s="197">
        <v>0</v>
      </c>
    </row>
    <row r="537" spans="1:8" ht="31.5">
      <c r="A537" s="372" t="s">
        <v>1224</v>
      </c>
      <c r="B537" s="372" t="s">
        <v>204</v>
      </c>
      <c r="C537" s="372" t="s">
        <v>4</v>
      </c>
      <c r="D537" s="372" t="s">
        <v>1514</v>
      </c>
      <c r="E537" s="373"/>
      <c r="F537" s="197">
        <v>1000</v>
      </c>
      <c r="G537" s="197">
        <v>2000</v>
      </c>
      <c r="H537" s="197">
        <v>0</v>
      </c>
    </row>
    <row r="538" spans="1:8" ht="47.25">
      <c r="A538" s="372" t="s">
        <v>1515</v>
      </c>
      <c r="B538" s="372" t="s">
        <v>204</v>
      </c>
      <c r="C538" s="372" t="s">
        <v>4</v>
      </c>
      <c r="D538" s="372" t="s">
        <v>1516</v>
      </c>
      <c r="E538" s="373"/>
      <c r="F538" s="197">
        <v>1000</v>
      </c>
      <c r="G538" s="197">
        <v>2000</v>
      </c>
      <c r="H538" s="197">
        <v>0</v>
      </c>
    </row>
    <row r="539" spans="1:8" ht="47.25">
      <c r="A539" s="372" t="s">
        <v>551</v>
      </c>
      <c r="B539" s="372" t="s">
        <v>204</v>
      </c>
      <c r="C539" s="372" t="s">
        <v>4</v>
      </c>
      <c r="D539" s="372" t="s">
        <v>1516</v>
      </c>
      <c r="E539" s="372" t="s">
        <v>266</v>
      </c>
      <c r="F539" s="197">
        <v>1000</v>
      </c>
      <c r="G539" s="197">
        <v>2000</v>
      </c>
      <c r="H539" s="197">
        <v>0</v>
      </c>
    </row>
    <row r="540" spans="1:8" ht="78.75">
      <c r="A540" s="372" t="s">
        <v>1222</v>
      </c>
      <c r="B540" s="373"/>
      <c r="C540" s="373"/>
      <c r="D540" s="372" t="s">
        <v>1223</v>
      </c>
      <c r="E540" s="373"/>
      <c r="F540" s="197">
        <v>233.41166999999999</v>
      </c>
      <c r="G540" s="197">
        <v>0</v>
      </c>
      <c r="H540" s="197">
        <v>0</v>
      </c>
    </row>
    <row r="541" spans="1:8" ht="31.5">
      <c r="A541" s="372" t="s">
        <v>1224</v>
      </c>
      <c r="B541" s="372" t="s">
        <v>204</v>
      </c>
      <c r="C541" s="372" t="s">
        <v>4</v>
      </c>
      <c r="D541" s="372" t="s">
        <v>1223</v>
      </c>
      <c r="E541" s="373"/>
      <c r="F541" s="197">
        <v>233.41166999999999</v>
      </c>
      <c r="G541" s="197">
        <v>0</v>
      </c>
      <c r="H541" s="197">
        <v>0</v>
      </c>
    </row>
    <row r="542" spans="1:8" ht="47.25">
      <c r="A542" s="372" t="s">
        <v>1225</v>
      </c>
      <c r="B542" s="372" t="s">
        <v>204</v>
      </c>
      <c r="C542" s="372" t="s">
        <v>4</v>
      </c>
      <c r="D542" s="372" t="s">
        <v>1226</v>
      </c>
      <c r="E542" s="373"/>
      <c r="F542" s="197">
        <v>233.41166999999999</v>
      </c>
      <c r="G542" s="197">
        <v>0</v>
      </c>
      <c r="H542" s="197">
        <v>0</v>
      </c>
    </row>
    <row r="543" spans="1:8" ht="47.25">
      <c r="A543" s="372" t="s">
        <v>551</v>
      </c>
      <c r="B543" s="372" t="s">
        <v>204</v>
      </c>
      <c r="C543" s="372" t="s">
        <v>4</v>
      </c>
      <c r="D543" s="372" t="s">
        <v>1226</v>
      </c>
      <c r="E543" s="372" t="s">
        <v>266</v>
      </c>
      <c r="F543" s="197">
        <v>233.41166999999999</v>
      </c>
      <c r="G543" s="197">
        <v>0</v>
      </c>
      <c r="H543" s="197">
        <v>0</v>
      </c>
    </row>
    <row r="544" spans="1:8" ht="47.25">
      <c r="A544" s="372" t="s">
        <v>1451</v>
      </c>
      <c r="B544" s="373"/>
      <c r="C544" s="373"/>
      <c r="D544" s="372" t="s">
        <v>1433</v>
      </c>
      <c r="E544" s="373"/>
      <c r="F544" s="197">
        <v>23955.78989</v>
      </c>
      <c r="G544" s="197">
        <v>1723.4287400000001</v>
      </c>
      <c r="H544" s="197">
        <v>0</v>
      </c>
    </row>
    <row r="545" spans="1:8" ht="31.5">
      <c r="A545" s="372" t="s">
        <v>1434</v>
      </c>
      <c r="B545" s="373"/>
      <c r="C545" s="373"/>
      <c r="D545" s="372" t="s">
        <v>1435</v>
      </c>
      <c r="E545" s="373"/>
      <c r="F545" s="197">
        <v>23955.78989</v>
      </c>
      <c r="G545" s="197">
        <v>1723.4287400000001</v>
      </c>
      <c r="H545" s="197">
        <v>0</v>
      </c>
    </row>
    <row r="546" spans="1:8" ht="31.5">
      <c r="A546" s="372" t="s">
        <v>1224</v>
      </c>
      <c r="B546" s="372" t="s">
        <v>204</v>
      </c>
      <c r="C546" s="372" t="s">
        <v>4</v>
      </c>
      <c r="D546" s="372" t="s">
        <v>1435</v>
      </c>
      <c r="E546" s="373"/>
      <c r="F546" s="197">
        <v>23955.78989</v>
      </c>
      <c r="G546" s="197">
        <v>1723.4287400000001</v>
      </c>
      <c r="H546" s="197">
        <v>0</v>
      </c>
    </row>
    <row r="547" spans="1:8" ht="94.5">
      <c r="A547" s="372" t="s">
        <v>1448</v>
      </c>
      <c r="B547" s="372" t="s">
        <v>204</v>
      </c>
      <c r="C547" s="372" t="s">
        <v>4</v>
      </c>
      <c r="D547" s="372" t="s">
        <v>1436</v>
      </c>
      <c r="E547" s="373"/>
      <c r="F547" s="197">
        <v>23955.78989</v>
      </c>
      <c r="G547" s="197">
        <v>1723.4287400000001</v>
      </c>
      <c r="H547" s="197">
        <v>0</v>
      </c>
    </row>
    <row r="548" spans="1:8" ht="47.25">
      <c r="A548" s="372" t="s">
        <v>605</v>
      </c>
      <c r="B548" s="372" t="s">
        <v>204</v>
      </c>
      <c r="C548" s="372" t="s">
        <v>4</v>
      </c>
      <c r="D548" s="372" t="s">
        <v>1436</v>
      </c>
      <c r="E548" s="372" t="s">
        <v>270</v>
      </c>
      <c r="F548" s="197">
        <v>23955.78989</v>
      </c>
      <c r="G548" s="197">
        <v>1723.4287400000001</v>
      </c>
      <c r="H548" s="197">
        <v>0</v>
      </c>
    </row>
    <row r="549" spans="1:8" ht="94.5">
      <c r="A549" s="372" t="s">
        <v>1175</v>
      </c>
      <c r="B549" s="373"/>
      <c r="C549" s="373"/>
      <c r="D549" s="372" t="s">
        <v>1176</v>
      </c>
      <c r="E549" s="373"/>
      <c r="F549" s="197">
        <v>108077.06881</v>
      </c>
      <c r="G549" s="197">
        <v>0</v>
      </c>
      <c r="H549" s="197">
        <v>0</v>
      </c>
    </row>
    <row r="550" spans="1:8" ht="31.5">
      <c r="A550" s="372" t="s">
        <v>1416</v>
      </c>
      <c r="B550" s="373"/>
      <c r="C550" s="373"/>
      <c r="D550" s="372" t="s">
        <v>1417</v>
      </c>
      <c r="E550" s="373"/>
      <c r="F550" s="197">
        <v>23077.068810000001</v>
      </c>
      <c r="G550" s="197">
        <v>0</v>
      </c>
      <c r="H550" s="197">
        <v>0</v>
      </c>
    </row>
    <row r="551" spans="1:8" ht="47.25">
      <c r="A551" s="372" t="s">
        <v>1426</v>
      </c>
      <c r="B551" s="373"/>
      <c r="C551" s="373"/>
      <c r="D551" s="372" t="s">
        <v>1418</v>
      </c>
      <c r="E551" s="373"/>
      <c r="F551" s="197">
        <v>23077.068810000001</v>
      </c>
      <c r="G551" s="197">
        <v>0</v>
      </c>
      <c r="H551" s="197">
        <v>0</v>
      </c>
    </row>
    <row r="552" spans="1:8">
      <c r="A552" s="372" t="s">
        <v>645</v>
      </c>
      <c r="B552" s="372" t="s">
        <v>4</v>
      </c>
      <c r="C552" s="372" t="s">
        <v>202</v>
      </c>
      <c r="D552" s="372" t="s">
        <v>1418</v>
      </c>
      <c r="E552" s="373"/>
      <c r="F552" s="197">
        <v>23077.068810000001</v>
      </c>
      <c r="G552" s="197">
        <v>0</v>
      </c>
      <c r="H552" s="197">
        <v>0</v>
      </c>
    </row>
    <row r="553" spans="1:8" ht="47.25">
      <c r="A553" s="372" t="s">
        <v>1411</v>
      </c>
      <c r="B553" s="372" t="s">
        <v>4</v>
      </c>
      <c r="C553" s="372" t="s">
        <v>202</v>
      </c>
      <c r="D553" s="372" t="s">
        <v>1419</v>
      </c>
      <c r="E553" s="373"/>
      <c r="F553" s="197">
        <v>22263.36881</v>
      </c>
      <c r="G553" s="197">
        <v>0</v>
      </c>
      <c r="H553" s="197">
        <v>0</v>
      </c>
    </row>
    <row r="554" spans="1:8" ht="47.25">
      <c r="A554" s="372" t="s">
        <v>551</v>
      </c>
      <c r="B554" s="372" t="s">
        <v>4</v>
      </c>
      <c r="C554" s="372" t="s">
        <v>202</v>
      </c>
      <c r="D554" s="372" t="s">
        <v>1419</v>
      </c>
      <c r="E554" s="372" t="s">
        <v>266</v>
      </c>
      <c r="F554" s="197">
        <v>22263.36881</v>
      </c>
      <c r="G554" s="197">
        <v>0</v>
      </c>
      <c r="H554" s="197">
        <v>0</v>
      </c>
    </row>
    <row r="555" spans="1:8" ht="78.75">
      <c r="A555" s="372" t="s">
        <v>1517</v>
      </c>
      <c r="B555" s="372" t="s">
        <v>4</v>
      </c>
      <c r="C555" s="372" t="s">
        <v>202</v>
      </c>
      <c r="D555" s="372" t="s">
        <v>1518</v>
      </c>
      <c r="E555" s="373"/>
      <c r="F555" s="197">
        <v>813.7</v>
      </c>
      <c r="G555" s="197">
        <v>0</v>
      </c>
      <c r="H555" s="197">
        <v>0</v>
      </c>
    </row>
    <row r="556" spans="1:8" ht="47.25">
      <c r="A556" s="372" t="s">
        <v>547</v>
      </c>
      <c r="B556" s="372" t="s">
        <v>4</v>
      </c>
      <c r="C556" s="372" t="s">
        <v>202</v>
      </c>
      <c r="D556" s="372" t="s">
        <v>1518</v>
      </c>
      <c r="E556" s="372" t="s">
        <v>268</v>
      </c>
      <c r="F556" s="197">
        <v>813.7</v>
      </c>
      <c r="G556" s="197">
        <v>0</v>
      </c>
      <c r="H556" s="197">
        <v>0</v>
      </c>
    </row>
    <row r="557" spans="1:8" ht="47.25">
      <c r="A557" s="372" t="s">
        <v>1420</v>
      </c>
      <c r="B557" s="373"/>
      <c r="C557" s="373"/>
      <c r="D557" s="372" t="s">
        <v>1421</v>
      </c>
      <c r="E557" s="373"/>
      <c r="F557" s="197">
        <v>85000</v>
      </c>
      <c r="G557" s="197">
        <v>0</v>
      </c>
      <c r="H557" s="197">
        <v>0</v>
      </c>
    </row>
    <row r="558" spans="1:8" ht="31.5">
      <c r="A558" s="372" t="s">
        <v>1422</v>
      </c>
      <c r="B558" s="373"/>
      <c r="C558" s="373"/>
      <c r="D558" s="372" t="s">
        <v>1423</v>
      </c>
      <c r="E558" s="373"/>
      <c r="F558" s="197">
        <v>85000</v>
      </c>
      <c r="G558" s="197">
        <v>0</v>
      </c>
      <c r="H558" s="197">
        <v>0</v>
      </c>
    </row>
    <row r="559" spans="1:8">
      <c r="A559" s="372" t="s">
        <v>645</v>
      </c>
      <c r="B559" s="372" t="s">
        <v>4</v>
      </c>
      <c r="C559" s="372" t="s">
        <v>202</v>
      </c>
      <c r="D559" s="372" t="s">
        <v>1423</v>
      </c>
      <c r="E559" s="373"/>
      <c r="F559" s="197">
        <v>85000</v>
      </c>
      <c r="G559" s="197">
        <v>0</v>
      </c>
      <c r="H559" s="197">
        <v>0</v>
      </c>
    </row>
    <row r="560" spans="1:8" ht="94.5">
      <c r="A560" s="372" t="s">
        <v>1519</v>
      </c>
      <c r="B560" s="372" t="s">
        <v>4</v>
      </c>
      <c r="C560" s="372" t="s">
        <v>202</v>
      </c>
      <c r="D560" s="372" t="s">
        <v>1520</v>
      </c>
      <c r="E560" s="373"/>
      <c r="F560" s="197">
        <v>85000</v>
      </c>
      <c r="G560" s="197">
        <v>0</v>
      </c>
      <c r="H560" s="197">
        <v>0</v>
      </c>
    </row>
    <row r="561" spans="1:8" ht="47.25">
      <c r="A561" s="372" t="s">
        <v>551</v>
      </c>
      <c r="B561" s="372" t="s">
        <v>4</v>
      </c>
      <c r="C561" s="372" t="s">
        <v>202</v>
      </c>
      <c r="D561" s="372" t="s">
        <v>1520</v>
      </c>
      <c r="E561" s="372" t="s">
        <v>266</v>
      </c>
      <c r="F561" s="197">
        <v>85000</v>
      </c>
      <c r="G561" s="197">
        <v>0</v>
      </c>
      <c r="H561" s="197">
        <v>0</v>
      </c>
    </row>
    <row r="562" spans="1:8" ht="63">
      <c r="A562" s="372" t="s">
        <v>423</v>
      </c>
      <c r="B562" s="373"/>
      <c r="C562" s="373"/>
      <c r="D562" s="372" t="s">
        <v>406</v>
      </c>
      <c r="E562" s="373"/>
      <c r="F562" s="197">
        <v>7847.59</v>
      </c>
      <c r="G562" s="197">
        <v>7827.59</v>
      </c>
      <c r="H562" s="197">
        <v>7827.59</v>
      </c>
    </row>
    <row r="563" spans="1:8" ht="31.5">
      <c r="A563" s="372" t="s">
        <v>672</v>
      </c>
      <c r="B563" s="373"/>
      <c r="C563" s="373"/>
      <c r="D563" s="372" t="s">
        <v>407</v>
      </c>
      <c r="E563" s="373"/>
      <c r="F563" s="197">
        <v>7778.64</v>
      </c>
      <c r="G563" s="197">
        <v>7758.64</v>
      </c>
      <c r="H563" s="197">
        <v>7758.64</v>
      </c>
    </row>
    <row r="564" spans="1:8" ht="31.5">
      <c r="A564" s="372" t="s">
        <v>1437</v>
      </c>
      <c r="B564" s="373"/>
      <c r="C564" s="373"/>
      <c r="D564" s="372" t="s">
        <v>407</v>
      </c>
      <c r="E564" s="373"/>
      <c r="F564" s="197">
        <v>7778.64</v>
      </c>
      <c r="G564" s="197">
        <v>7758.64</v>
      </c>
      <c r="H564" s="197">
        <v>7758.64</v>
      </c>
    </row>
    <row r="565" spans="1:8" ht="78.75">
      <c r="A565" s="372" t="s">
        <v>673</v>
      </c>
      <c r="B565" s="372" t="s">
        <v>200</v>
      </c>
      <c r="C565" s="372" t="s">
        <v>202</v>
      </c>
      <c r="D565" s="372" t="s">
        <v>407</v>
      </c>
      <c r="E565" s="373"/>
      <c r="F565" s="197">
        <v>7778.64</v>
      </c>
      <c r="G565" s="197">
        <v>7758.64</v>
      </c>
      <c r="H565" s="197">
        <v>7758.64</v>
      </c>
    </row>
    <row r="566" spans="1:8" ht="110.25">
      <c r="A566" s="372" t="s">
        <v>964</v>
      </c>
      <c r="B566" s="372" t="s">
        <v>200</v>
      </c>
      <c r="C566" s="372" t="s">
        <v>202</v>
      </c>
      <c r="D566" s="372" t="s">
        <v>1102</v>
      </c>
      <c r="E566" s="373"/>
      <c r="F566" s="197">
        <v>25</v>
      </c>
      <c r="G566" s="197">
        <v>25</v>
      </c>
      <c r="H566" s="197">
        <v>25</v>
      </c>
    </row>
    <row r="567" spans="1:8" ht="47.25">
      <c r="A567" s="372" t="s">
        <v>551</v>
      </c>
      <c r="B567" s="372" t="s">
        <v>200</v>
      </c>
      <c r="C567" s="372" t="s">
        <v>202</v>
      </c>
      <c r="D567" s="372" t="s">
        <v>1102</v>
      </c>
      <c r="E567" s="372" t="s">
        <v>266</v>
      </c>
      <c r="F567" s="197">
        <v>25</v>
      </c>
      <c r="G567" s="197">
        <v>25</v>
      </c>
      <c r="H567" s="197">
        <v>25</v>
      </c>
    </row>
    <row r="568" spans="1:8" ht="47.25">
      <c r="A568" s="372" t="s">
        <v>674</v>
      </c>
      <c r="B568" s="372" t="s">
        <v>200</v>
      </c>
      <c r="C568" s="372" t="s">
        <v>202</v>
      </c>
      <c r="D568" s="372" t="s">
        <v>408</v>
      </c>
      <c r="E568" s="373"/>
      <c r="F568" s="197">
        <v>1137.1780000000001</v>
      </c>
      <c r="G568" s="197">
        <v>1137.1780000000001</v>
      </c>
      <c r="H568" s="197">
        <v>1137.1780000000001</v>
      </c>
    </row>
    <row r="569" spans="1:8" ht="110.25">
      <c r="A569" s="372" t="s">
        <v>556</v>
      </c>
      <c r="B569" s="372" t="s">
        <v>200</v>
      </c>
      <c r="C569" s="372" t="s">
        <v>202</v>
      </c>
      <c r="D569" s="372" t="s">
        <v>408</v>
      </c>
      <c r="E569" s="372" t="s">
        <v>265</v>
      </c>
      <c r="F569" s="197">
        <v>1137.1780000000001</v>
      </c>
      <c r="G569" s="197">
        <v>1137.1780000000001</v>
      </c>
      <c r="H569" s="197">
        <v>1137.1780000000001</v>
      </c>
    </row>
    <row r="570" spans="1:8" ht="47.25">
      <c r="A570" s="372" t="s">
        <v>675</v>
      </c>
      <c r="B570" s="372" t="s">
        <v>200</v>
      </c>
      <c r="C570" s="372" t="s">
        <v>202</v>
      </c>
      <c r="D570" s="372" t="s">
        <v>409</v>
      </c>
      <c r="E570" s="373"/>
      <c r="F570" s="197">
        <v>5736.4560000000001</v>
      </c>
      <c r="G570" s="197">
        <v>5716.4560000000001</v>
      </c>
      <c r="H570" s="197">
        <v>5716.4560000000001</v>
      </c>
    </row>
    <row r="571" spans="1:8" ht="110.25">
      <c r="A571" s="372" t="s">
        <v>556</v>
      </c>
      <c r="B571" s="372" t="s">
        <v>200</v>
      </c>
      <c r="C571" s="372" t="s">
        <v>202</v>
      </c>
      <c r="D571" s="372" t="s">
        <v>409</v>
      </c>
      <c r="E571" s="372" t="s">
        <v>265</v>
      </c>
      <c r="F571" s="197">
        <v>3503.232</v>
      </c>
      <c r="G571" s="197">
        <v>3503.232</v>
      </c>
      <c r="H571" s="197">
        <v>3503.232</v>
      </c>
    </row>
    <row r="572" spans="1:8" ht="47.25">
      <c r="A572" s="372" t="s">
        <v>551</v>
      </c>
      <c r="B572" s="372" t="s">
        <v>200</v>
      </c>
      <c r="C572" s="372" t="s">
        <v>202</v>
      </c>
      <c r="D572" s="372" t="s">
        <v>409</v>
      </c>
      <c r="E572" s="372" t="s">
        <v>266</v>
      </c>
      <c r="F572" s="197">
        <v>2138.924</v>
      </c>
      <c r="G572" s="197">
        <v>2118.924</v>
      </c>
      <c r="H572" s="197">
        <v>2118.924</v>
      </c>
    </row>
    <row r="573" spans="1:8">
      <c r="A573" s="372" t="s">
        <v>558</v>
      </c>
      <c r="B573" s="372" t="s">
        <v>200</v>
      </c>
      <c r="C573" s="372" t="s">
        <v>202</v>
      </c>
      <c r="D573" s="372" t="s">
        <v>409</v>
      </c>
      <c r="E573" s="372" t="s">
        <v>267</v>
      </c>
      <c r="F573" s="197">
        <v>94.3</v>
      </c>
      <c r="G573" s="197">
        <v>94.3</v>
      </c>
      <c r="H573" s="197">
        <v>94.3</v>
      </c>
    </row>
    <row r="574" spans="1:8" ht="47.25">
      <c r="A574" s="372" t="s">
        <v>676</v>
      </c>
      <c r="B574" s="372" t="s">
        <v>200</v>
      </c>
      <c r="C574" s="372" t="s">
        <v>202</v>
      </c>
      <c r="D574" s="372" t="s">
        <v>410</v>
      </c>
      <c r="E574" s="373"/>
      <c r="F574" s="197">
        <v>880.00599999999997</v>
      </c>
      <c r="G574" s="197">
        <v>880.00599999999997</v>
      </c>
      <c r="H574" s="197">
        <v>880.00599999999997</v>
      </c>
    </row>
    <row r="575" spans="1:8" ht="110.25">
      <c r="A575" s="372" t="s">
        <v>556</v>
      </c>
      <c r="B575" s="372" t="s">
        <v>200</v>
      </c>
      <c r="C575" s="372" t="s">
        <v>202</v>
      </c>
      <c r="D575" s="372" t="s">
        <v>410</v>
      </c>
      <c r="E575" s="372" t="s">
        <v>265</v>
      </c>
      <c r="F575" s="197">
        <v>880.00599999999997</v>
      </c>
      <c r="G575" s="197">
        <v>880.00599999999997</v>
      </c>
      <c r="H575" s="197">
        <v>880.00599999999997</v>
      </c>
    </row>
    <row r="576" spans="1:8">
      <c r="A576" s="372" t="s">
        <v>677</v>
      </c>
      <c r="B576" s="373"/>
      <c r="C576" s="373"/>
      <c r="D576" s="372" t="s">
        <v>411</v>
      </c>
      <c r="E576" s="373"/>
      <c r="F576" s="197">
        <v>68.95</v>
      </c>
      <c r="G576" s="197">
        <v>68.95</v>
      </c>
      <c r="H576" s="197">
        <v>68.95</v>
      </c>
    </row>
    <row r="577" spans="1:8">
      <c r="A577" s="372" t="s">
        <v>1438</v>
      </c>
      <c r="B577" s="373"/>
      <c r="C577" s="373"/>
      <c r="D577" s="372" t="s">
        <v>411</v>
      </c>
      <c r="E577" s="373"/>
      <c r="F577" s="197">
        <v>68.95</v>
      </c>
      <c r="G577" s="197">
        <v>68.95</v>
      </c>
      <c r="H577" s="197">
        <v>68.95</v>
      </c>
    </row>
    <row r="578" spans="1:8" ht="78.75">
      <c r="A578" s="372" t="s">
        <v>673</v>
      </c>
      <c r="B578" s="372" t="s">
        <v>200</v>
      </c>
      <c r="C578" s="372" t="s">
        <v>202</v>
      </c>
      <c r="D578" s="372" t="s">
        <v>411</v>
      </c>
      <c r="E578" s="373"/>
      <c r="F578" s="197">
        <v>68.95</v>
      </c>
      <c r="G578" s="197">
        <v>68.95</v>
      </c>
      <c r="H578" s="197">
        <v>68.95</v>
      </c>
    </row>
    <row r="579" spans="1:8" ht="31.5">
      <c r="A579" s="372" t="s">
        <v>678</v>
      </c>
      <c r="B579" s="372" t="s">
        <v>200</v>
      </c>
      <c r="C579" s="372" t="s">
        <v>202</v>
      </c>
      <c r="D579" s="372" t="s">
        <v>412</v>
      </c>
      <c r="E579" s="373"/>
      <c r="F579" s="197">
        <v>68.95</v>
      </c>
      <c r="G579" s="197">
        <v>68.95</v>
      </c>
      <c r="H579" s="197">
        <v>68.95</v>
      </c>
    </row>
    <row r="580" spans="1:8" ht="47.25">
      <c r="A580" s="372" t="s">
        <v>551</v>
      </c>
      <c r="B580" s="372" t="s">
        <v>200</v>
      </c>
      <c r="C580" s="372" t="s">
        <v>202</v>
      </c>
      <c r="D580" s="372" t="s">
        <v>412</v>
      </c>
      <c r="E580" s="372" t="s">
        <v>266</v>
      </c>
      <c r="F580" s="197">
        <v>0</v>
      </c>
      <c r="G580" s="197">
        <v>68.95</v>
      </c>
      <c r="H580" s="197">
        <v>68.95</v>
      </c>
    </row>
    <row r="581" spans="1:8" ht="31.5">
      <c r="A581" s="372" t="s">
        <v>552</v>
      </c>
      <c r="B581" s="372" t="s">
        <v>200</v>
      </c>
      <c r="C581" s="372" t="s">
        <v>202</v>
      </c>
      <c r="D581" s="372" t="s">
        <v>412</v>
      </c>
      <c r="E581" s="372" t="s">
        <v>271</v>
      </c>
      <c r="F581" s="197">
        <v>68.95</v>
      </c>
      <c r="G581" s="197">
        <v>0</v>
      </c>
      <c r="H581" s="197">
        <v>0</v>
      </c>
    </row>
    <row r="582" spans="1:8" ht="63">
      <c r="A582" s="372" t="s">
        <v>424</v>
      </c>
      <c r="B582" s="373"/>
      <c r="C582" s="373"/>
      <c r="D582" s="372" t="s">
        <v>413</v>
      </c>
      <c r="E582" s="373"/>
      <c r="F582" s="197">
        <v>2025.048</v>
      </c>
      <c r="G582" s="197">
        <v>2020.048</v>
      </c>
      <c r="H582" s="197">
        <v>2020.048</v>
      </c>
    </row>
    <row r="583" spans="1:8" ht="31.5">
      <c r="A583" s="372" t="s">
        <v>679</v>
      </c>
      <c r="B583" s="373"/>
      <c r="C583" s="373"/>
      <c r="D583" s="372" t="s">
        <v>414</v>
      </c>
      <c r="E583" s="373"/>
      <c r="F583" s="197">
        <v>2025.048</v>
      </c>
      <c r="G583" s="197">
        <v>2020.048</v>
      </c>
      <c r="H583" s="197">
        <v>2020.048</v>
      </c>
    </row>
    <row r="584" spans="1:8" ht="31.5">
      <c r="A584" s="372" t="s">
        <v>1439</v>
      </c>
      <c r="B584" s="373"/>
      <c r="C584" s="373"/>
      <c r="D584" s="372" t="s">
        <v>414</v>
      </c>
      <c r="E584" s="373"/>
      <c r="F584" s="197">
        <v>2025.048</v>
      </c>
      <c r="G584" s="197">
        <v>2020.048</v>
      </c>
      <c r="H584" s="197">
        <v>2020.048</v>
      </c>
    </row>
    <row r="585" spans="1:8" ht="63">
      <c r="A585" s="372" t="s">
        <v>658</v>
      </c>
      <c r="B585" s="372" t="s">
        <v>200</v>
      </c>
      <c r="C585" s="372" t="s">
        <v>204</v>
      </c>
      <c r="D585" s="372" t="s">
        <v>414</v>
      </c>
      <c r="E585" s="373"/>
      <c r="F585" s="197">
        <v>2025.048</v>
      </c>
      <c r="G585" s="197">
        <v>2020.048</v>
      </c>
      <c r="H585" s="197">
        <v>2020.048</v>
      </c>
    </row>
    <row r="586" spans="1:8" ht="110.25">
      <c r="A586" s="372" t="s">
        <v>964</v>
      </c>
      <c r="B586" s="372" t="s">
        <v>200</v>
      </c>
      <c r="C586" s="372" t="s">
        <v>204</v>
      </c>
      <c r="D586" s="372" t="s">
        <v>1103</v>
      </c>
      <c r="E586" s="373"/>
      <c r="F586" s="197">
        <v>12</v>
      </c>
      <c r="G586" s="197">
        <v>12</v>
      </c>
      <c r="H586" s="197">
        <v>12</v>
      </c>
    </row>
    <row r="587" spans="1:8" ht="47.25">
      <c r="A587" s="372" t="s">
        <v>551</v>
      </c>
      <c r="B587" s="372" t="s">
        <v>200</v>
      </c>
      <c r="C587" s="372" t="s">
        <v>204</v>
      </c>
      <c r="D587" s="372" t="s">
        <v>1103</v>
      </c>
      <c r="E587" s="372" t="s">
        <v>266</v>
      </c>
      <c r="F587" s="197">
        <v>12</v>
      </c>
      <c r="G587" s="197">
        <v>12</v>
      </c>
      <c r="H587" s="197">
        <v>12</v>
      </c>
    </row>
    <row r="588" spans="1:8" ht="47.25">
      <c r="A588" s="372" t="s">
        <v>680</v>
      </c>
      <c r="B588" s="372" t="s">
        <v>200</v>
      </c>
      <c r="C588" s="372" t="s">
        <v>204</v>
      </c>
      <c r="D588" s="372" t="s">
        <v>415</v>
      </c>
      <c r="E588" s="373"/>
      <c r="F588" s="197">
        <v>699.51800000000003</v>
      </c>
      <c r="G588" s="197">
        <v>699.51800000000003</v>
      </c>
      <c r="H588" s="197">
        <v>699.51800000000003</v>
      </c>
    </row>
    <row r="589" spans="1:8" ht="110.25">
      <c r="A589" s="372" t="s">
        <v>556</v>
      </c>
      <c r="B589" s="372" t="s">
        <v>200</v>
      </c>
      <c r="C589" s="372" t="s">
        <v>204</v>
      </c>
      <c r="D589" s="372" t="s">
        <v>415</v>
      </c>
      <c r="E589" s="372" t="s">
        <v>265</v>
      </c>
      <c r="F589" s="197">
        <v>699.51800000000003</v>
      </c>
      <c r="G589" s="197">
        <v>699.51800000000003</v>
      </c>
      <c r="H589" s="197">
        <v>699.51800000000003</v>
      </c>
    </row>
    <row r="590" spans="1:8" ht="63">
      <c r="A590" s="372" t="s">
        <v>681</v>
      </c>
      <c r="B590" s="372" t="s">
        <v>200</v>
      </c>
      <c r="C590" s="372" t="s">
        <v>204</v>
      </c>
      <c r="D590" s="372" t="s">
        <v>416</v>
      </c>
      <c r="E590" s="373"/>
      <c r="F590" s="197">
        <v>1313.53</v>
      </c>
      <c r="G590" s="197">
        <v>1308.53</v>
      </c>
      <c r="H590" s="197">
        <v>1308.53</v>
      </c>
    </row>
    <row r="591" spans="1:8" ht="110.25">
      <c r="A591" s="372" t="s">
        <v>556</v>
      </c>
      <c r="B591" s="372" t="s">
        <v>200</v>
      </c>
      <c r="C591" s="372" t="s">
        <v>204</v>
      </c>
      <c r="D591" s="372" t="s">
        <v>416</v>
      </c>
      <c r="E591" s="372" t="s">
        <v>265</v>
      </c>
      <c r="F591" s="197">
        <v>1106.04</v>
      </c>
      <c r="G591" s="197">
        <v>1106.04</v>
      </c>
      <c r="H591" s="197">
        <v>1106.04</v>
      </c>
    </row>
    <row r="592" spans="1:8" ht="47.25">
      <c r="A592" s="372" t="s">
        <v>551</v>
      </c>
      <c r="B592" s="372" t="s">
        <v>200</v>
      </c>
      <c r="C592" s="372" t="s">
        <v>204</v>
      </c>
      <c r="D592" s="372" t="s">
        <v>416</v>
      </c>
      <c r="E592" s="372" t="s">
        <v>266</v>
      </c>
      <c r="F592" s="197">
        <v>196.49</v>
      </c>
      <c r="G592" s="197">
        <v>191.49</v>
      </c>
      <c r="H592" s="197">
        <v>191.49</v>
      </c>
    </row>
    <row r="593" spans="1:8">
      <c r="A593" s="372" t="s">
        <v>558</v>
      </c>
      <c r="B593" s="372" t="s">
        <v>200</v>
      </c>
      <c r="C593" s="372" t="s">
        <v>204</v>
      </c>
      <c r="D593" s="372" t="s">
        <v>416</v>
      </c>
      <c r="E593" s="372" t="s">
        <v>267</v>
      </c>
      <c r="F593" s="197">
        <v>11</v>
      </c>
      <c r="G593" s="197">
        <v>11</v>
      </c>
      <c r="H593" s="197">
        <v>11</v>
      </c>
    </row>
    <row r="594" spans="1:8" ht="78.75">
      <c r="A594" s="372" t="s">
        <v>425</v>
      </c>
      <c r="B594" s="373"/>
      <c r="C594" s="373"/>
      <c r="D594" s="372" t="s">
        <v>417</v>
      </c>
      <c r="E594" s="373"/>
      <c r="F594" s="197">
        <v>288.70382000000001</v>
      </c>
      <c r="G594" s="197">
        <v>2114.8000000000002</v>
      </c>
      <c r="H594" s="197">
        <v>2114.8000000000002</v>
      </c>
    </row>
    <row r="595" spans="1:8" ht="31.5">
      <c r="A595" s="372" t="s">
        <v>682</v>
      </c>
      <c r="B595" s="373"/>
      <c r="C595" s="373"/>
      <c r="D595" s="372" t="s">
        <v>418</v>
      </c>
      <c r="E595" s="373"/>
      <c r="F595" s="197">
        <v>288.70382000000001</v>
      </c>
      <c r="G595" s="197">
        <v>2114.8000000000002</v>
      </c>
      <c r="H595" s="197">
        <v>2114.8000000000002</v>
      </c>
    </row>
    <row r="596" spans="1:8" ht="31.5">
      <c r="A596" s="372" t="s">
        <v>1440</v>
      </c>
      <c r="B596" s="373"/>
      <c r="C596" s="373"/>
      <c r="D596" s="372" t="s">
        <v>418</v>
      </c>
      <c r="E596" s="373"/>
      <c r="F596" s="197">
        <v>288.70382000000001</v>
      </c>
      <c r="G596" s="197">
        <v>2114.8000000000002</v>
      </c>
      <c r="H596" s="197">
        <v>2114.8000000000002</v>
      </c>
    </row>
    <row r="597" spans="1:8">
      <c r="A597" s="372" t="s">
        <v>683</v>
      </c>
      <c r="B597" s="372" t="s">
        <v>200</v>
      </c>
      <c r="C597" s="372" t="s">
        <v>5</v>
      </c>
      <c r="D597" s="372" t="s">
        <v>418</v>
      </c>
      <c r="E597" s="373"/>
      <c r="F597" s="197">
        <v>288.70382000000001</v>
      </c>
      <c r="G597" s="197">
        <v>2114.8000000000002</v>
      </c>
      <c r="H597" s="197">
        <v>2114.8000000000002</v>
      </c>
    </row>
    <row r="598" spans="1:8" ht="31.5">
      <c r="A598" s="372" t="s">
        <v>490</v>
      </c>
      <c r="B598" s="372" t="s">
        <v>200</v>
      </c>
      <c r="C598" s="372" t="s">
        <v>5</v>
      </c>
      <c r="D598" s="372" t="s">
        <v>419</v>
      </c>
      <c r="E598" s="373"/>
      <c r="F598" s="197">
        <v>288.70382000000001</v>
      </c>
      <c r="G598" s="197">
        <v>2114.8000000000002</v>
      </c>
      <c r="H598" s="197">
        <v>2114.8000000000002</v>
      </c>
    </row>
    <row r="599" spans="1:8">
      <c r="A599" s="372" t="s">
        <v>558</v>
      </c>
      <c r="B599" s="372" t="s">
        <v>200</v>
      </c>
      <c r="C599" s="372" t="s">
        <v>5</v>
      </c>
      <c r="D599" s="372" t="s">
        <v>419</v>
      </c>
      <c r="E599" s="372" t="s">
        <v>267</v>
      </c>
      <c r="F599" s="197">
        <v>288.70382000000001</v>
      </c>
      <c r="G599" s="197">
        <v>2114.8000000000002</v>
      </c>
      <c r="H599" s="197">
        <v>2114.8000000000002</v>
      </c>
    </row>
    <row r="600" spans="1:8" ht="63">
      <c r="A600" s="372" t="s">
        <v>426</v>
      </c>
      <c r="B600" s="373"/>
      <c r="C600" s="373"/>
      <c r="D600" s="372" t="s">
        <v>420</v>
      </c>
      <c r="E600" s="373"/>
      <c r="F600" s="197">
        <v>11008.4375</v>
      </c>
      <c r="G600" s="197">
        <v>0</v>
      </c>
      <c r="H600" s="197">
        <v>0</v>
      </c>
    </row>
    <row r="601" spans="1:8">
      <c r="A601" s="372" t="s">
        <v>677</v>
      </c>
      <c r="B601" s="373"/>
      <c r="C601" s="373"/>
      <c r="D601" s="372" t="s">
        <v>421</v>
      </c>
      <c r="E601" s="373"/>
      <c r="F601" s="197">
        <v>11008.4375</v>
      </c>
      <c r="G601" s="197">
        <v>0</v>
      </c>
      <c r="H601" s="197">
        <v>0</v>
      </c>
    </row>
    <row r="602" spans="1:8">
      <c r="A602" s="372" t="s">
        <v>1438</v>
      </c>
      <c r="B602" s="373"/>
      <c r="C602" s="373"/>
      <c r="D602" s="372" t="s">
        <v>421</v>
      </c>
      <c r="E602" s="373"/>
      <c r="F602" s="197">
        <v>11008.4375</v>
      </c>
      <c r="G602" s="197">
        <v>0</v>
      </c>
      <c r="H602" s="197">
        <v>0</v>
      </c>
    </row>
    <row r="603" spans="1:8" ht="31.5">
      <c r="A603" s="372" t="s">
        <v>577</v>
      </c>
      <c r="B603" s="372" t="s">
        <v>200</v>
      </c>
      <c r="C603" s="372" t="s">
        <v>6</v>
      </c>
      <c r="D603" s="372" t="s">
        <v>421</v>
      </c>
      <c r="E603" s="373"/>
      <c r="F603" s="197">
        <v>10999.758260000001</v>
      </c>
      <c r="G603" s="197">
        <v>0</v>
      </c>
      <c r="H603" s="197">
        <v>0</v>
      </c>
    </row>
    <row r="604" spans="1:8" ht="173.25">
      <c r="A604" s="372" t="s">
        <v>1177</v>
      </c>
      <c r="B604" s="372" t="s">
        <v>200</v>
      </c>
      <c r="C604" s="372" t="s">
        <v>6</v>
      </c>
      <c r="D604" s="372" t="s">
        <v>1178</v>
      </c>
      <c r="E604" s="373"/>
      <c r="F604" s="197">
        <v>799.75825999999995</v>
      </c>
      <c r="G604" s="197">
        <v>0</v>
      </c>
      <c r="H604" s="197">
        <v>0</v>
      </c>
    </row>
    <row r="605" spans="1:8" ht="47.25">
      <c r="A605" s="372" t="s">
        <v>551</v>
      </c>
      <c r="B605" s="372" t="s">
        <v>200</v>
      </c>
      <c r="C605" s="372" t="s">
        <v>6</v>
      </c>
      <c r="D605" s="372" t="s">
        <v>1178</v>
      </c>
      <c r="E605" s="372" t="s">
        <v>266</v>
      </c>
      <c r="F605" s="197">
        <v>384.58915999999999</v>
      </c>
      <c r="G605" s="197">
        <v>0</v>
      </c>
      <c r="H605" s="197">
        <v>0</v>
      </c>
    </row>
    <row r="606" spans="1:8">
      <c r="A606" s="372" t="s">
        <v>558</v>
      </c>
      <c r="B606" s="372" t="s">
        <v>200</v>
      </c>
      <c r="C606" s="372" t="s">
        <v>6</v>
      </c>
      <c r="D606" s="372" t="s">
        <v>1178</v>
      </c>
      <c r="E606" s="372" t="s">
        <v>267</v>
      </c>
      <c r="F606" s="197">
        <v>415.16910000000001</v>
      </c>
      <c r="G606" s="197">
        <v>0</v>
      </c>
      <c r="H606" s="197">
        <v>0</v>
      </c>
    </row>
    <row r="607" spans="1:8" ht="173.25">
      <c r="A607" s="372" t="s">
        <v>888</v>
      </c>
      <c r="B607" s="372" t="s">
        <v>200</v>
      </c>
      <c r="C607" s="372" t="s">
        <v>6</v>
      </c>
      <c r="D607" s="372" t="s">
        <v>889</v>
      </c>
      <c r="E607" s="373"/>
      <c r="F607" s="197">
        <v>10200</v>
      </c>
      <c r="G607" s="197">
        <v>0</v>
      </c>
      <c r="H607" s="197">
        <v>0</v>
      </c>
    </row>
    <row r="608" spans="1:8">
      <c r="A608" s="372" t="s">
        <v>558</v>
      </c>
      <c r="B608" s="372" t="s">
        <v>200</v>
      </c>
      <c r="C608" s="372" t="s">
        <v>6</v>
      </c>
      <c r="D608" s="372" t="s">
        <v>889</v>
      </c>
      <c r="E608" s="372" t="s">
        <v>267</v>
      </c>
      <c r="F608" s="197">
        <v>10200</v>
      </c>
      <c r="G608" s="197">
        <v>0</v>
      </c>
      <c r="H608" s="197">
        <v>0</v>
      </c>
    </row>
    <row r="609" spans="1:8" ht="31.5">
      <c r="A609" s="372" t="s">
        <v>665</v>
      </c>
      <c r="B609" s="372" t="s">
        <v>5</v>
      </c>
      <c r="C609" s="372" t="s">
        <v>4</v>
      </c>
      <c r="D609" s="372" t="s">
        <v>421</v>
      </c>
      <c r="E609" s="373"/>
      <c r="F609" s="197">
        <v>8.6792400000000001</v>
      </c>
      <c r="G609" s="197">
        <v>0</v>
      </c>
      <c r="H609" s="197">
        <v>0</v>
      </c>
    </row>
    <row r="610" spans="1:8" ht="173.25">
      <c r="A610" s="372" t="s">
        <v>1177</v>
      </c>
      <c r="B610" s="372" t="s">
        <v>5</v>
      </c>
      <c r="C610" s="372" t="s">
        <v>4</v>
      </c>
      <c r="D610" s="372" t="s">
        <v>1178</v>
      </c>
      <c r="E610" s="373"/>
      <c r="F610" s="197">
        <v>8.6792400000000001</v>
      </c>
      <c r="G610" s="197">
        <v>0</v>
      </c>
      <c r="H610" s="197">
        <v>0</v>
      </c>
    </row>
    <row r="611" spans="1:8">
      <c r="A611" s="372" t="s">
        <v>558</v>
      </c>
      <c r="B611" s="372" t="s">
        <v>5</v>
      </c>
      <c r="C611" s="372" t="s">
        <v>4</v>
      </c>
      <c r="D611" s="372" t="s">
        <v>1178</v>
      </c>
      <c r="E611" s="372" t="s">
        <v>267</v>
      </c>
      <c r="F611" s="197">
        <v>8.6792400000000001</v>
      </c>
      <c r="G611" s="197">
        <v>0</v>
      </c>
      <c r="H611" s="197">
        <v>0</v>
      </c>
    </row>
    <row r="612" spans="1:8" ht="78.75">
      <c r="A612" s="372" t="s">
        <v>854</v>
      </c>
      <c r="B612" s="373"/>
      <c r="C612" s="373"/>
      <c r="D612" s="372" t="s">
        <v>855</v>
      </c>
      <c r="E612" s="373"/>
      <c r="F612" s="197">
        <v>16.13</v>
      </c>
      <c r="G612" s="197">
        <v>16.86</v>
      </c>
      <c r="H612" s="197">
        <v>17.734999999999999</v>
      </c>
    </row>
    <row r="613" spans="1:8">
      <c r="A613" s="372" t="s">
        <v>677</v>
      </c>
      <c r="B613" s="373"/>
      <c r="C613" s="373"/>
      <c r="D613" s="372" t="s">
        <v>856</v>
      </c>
      <c r="E613" s="373"/>
      <c r="F613" s="197">
        <v>16.13</v>
      </c>
      <c r="G613" s="197">
        <v>16.86</v>
      </c>
      <c r="H613" s="197">
        <v>17.734999999999999</v>
      </c>
    </row>
    <row r="614" spans="1:8">
      <c r="A614" s="372" t="s">
        <v>1438</v>
      </c>
      <c r="B614" s="373"/>
      <c r="C614" s="373"/>
      <c r="D614" s="372" t="s">
        <v>856</v>
      </c>
      <c r="E614" s="373"/>
      <c r="F614" s="197">
        <v>16.13</v>
      </c>
      <c r="G614" s="197">
        <v>16.86</v>
      </c>
      <c r="H614" s="197">
        <v>17.734999999999999</v>
      </c>
    </row>
    <row r="615" spans="1:8">
      <c r="A615" s="372" t="s">
        <v>857</v>
      </c>
      <c r="B615" s="372" t="s">
        <v>200</v>
      </c>
      <c r="C615" s="372" t="s">
        <v>4</v>
      </c>
      <c r="D615" s="372" t="s">
        <v>856</v>
      </c>
      <c r="E615" s="373"/>
      <c r="F615" s="197">
        <v>16.13</v>
      </c>
      <c r="G615" s="197">
        <v>16.86</v>
      </c>
      <c r="H615" s="197">
        <v>17.734999999999999</v>
      </c>
    </row>
    <row r="616" spans="1:8" ht="126">
      <c r="A616" s="372" t="s">
        <v>896</v>
      </c>
      <c r="B616" s="372" t="s">
        <v>200</v>
      </c>
      <c r="C616" s="372" t="s">
        <v>4</v>
      </c>
      <c r="D616" s="372" t="s">
        <v>858</v>
      </c>
      <c r="E616" s="373"/>
      <c r="F616" s="197">
        <v>16.13</v>
      </c>
      <c r="G616" s="197">
        <v>16.86</v>
      </c>
      <c r="H616" s="197">
        <v>17.734999999999999</v>
      </c>
    </row>
    <row r="617" spans="1:8" ht="47.25">
      <c r="A617" s="372" t="s">
        <v>551</v>
      </c>
      <c r="B617" s="372" t="s">
        <v>200</v>
      </c>
      <c r="C617" s="372" t="s">
        <v>4</v>
      </c>
      <c r="D617" s="372" t="s">
        <v>858</v>
      </c>
      <c r="E617" s="372" t="s">
        <v>266</v>
      </c>
      <c r="F617" s="197">
        <v>16.13</v>
      </c>
      <c r="G617" s="197">
        <v>16.86</v>
      </c>
      <c r="H617" s="197">
        <v>17.734999999999999</v>
      </c>
    </row>
    <row r="618" spans="1:8" ht="78.75">
      <c r="A618" s="372" t="s">
        <v>1104</v>
      </c>
      <c r="B618" s="373"/>
      <c r="C618" s="373"/>
      <c r="D618" s="372" t="s">
        <v>1105</v>
      </c>
      <c r="E618" s="373"/>
      <c r="F618" s="197">
        <v>3373</v>
      </c>
      <c r="G618" s="197">
        <v>3373</v>
      </c>
      <c r="H618" s="197">
        <v>3373</v>
      </c>
    </row>
    <row r="619" spans="1:8">
      <c r="A619" s="372" t="s">
        <v>677</v>
      </c>
      <c r="B619" s="373"/>
      <c r="C619" s="373"/>
      <c r="D619" s="372" t="s">
        <v>1106</v>
      </c>
      <c r="E619" s="373"/>
      <c r="F619" s="197">
        <v>3373</v>
      </c>
      <c r="G619" s="197">
        <v>3373</v>
      </c>
      <c r="H619" s="197">
        <v>3373</v>
      </c>
    </row>
    <row r="620" spans="1:8">
      <c r="A620" s="372" t="s">
        <v>1438</v>
      </c>
      <c r="B620" s="373"/>
      <c r="C620" s="373"/>
      <c r="D620" s="372" t="s">
        <v>1106</v>
      </c>
      <c r="E620" s="373"/>
      <c r="F620" s="197">
        <v>3373</v>
      </c>
      <c r="G620" s="197">
        <v>3373</v>
      </c>
      <c r="H620" s="197">
        <v>3373</v>
      </c>
    </row>
    <row r="621" spans="1:8">
      <c r="A621" s="372" t="s">
        <v>607</v>
      </c>
      <c r="B621" s="372" t="s">
        <v>203</v>
      </c>
      <c r="C621" s="372" t="s">
        <v>200</v>
      </c>
      <c r="D621" s="372" t="s">
        <v>1106</v>
      </c>
      <c r="E621" s="373"/>
      <c r="F621" s="197">
        <v>2640</v>
      </c>
      <c r="G621" s="197">
        <v>2640</v>
      </c>
      <c r="H621" s="197">
        <v>2640</v>
      </c>
    </row>
    <row r="622" spans="1:8" ht="94.5">
      <c r="A622" s="372" t="s">
        <v>608</v>
      </c>
      <c r="B622" s="372" t="s">
        <v>203</v>
      </c>
      <c r="C622" s="372" t="s">
        <v>200</v>
      </c>
      <c r="D622" s="372" t="s">
        <v>1107</v>
      </c>
      <c r="E622" s="373"/>
      <c r="F622" s="197">
        <v>2640</v>
      </c>
      <c r="G622" s="197">
        <v>2640</v>
      </c>
      <c r="H622" s="197">
        <v>2640</v>
      </c>
    </row>
    <row r="623" spans="1:8" ht="31.5">
      <c r="A623" s="372" t="s">
        <v>552</v>
      </c>
      <c r="B623" s="372" t="s">
        <v>203</v>
      </c>
      <c r="C623" s="372" t="s">
        <v>200</v>
      </c>
      <c r="D623" s="372" t="s">
        <v>1107</v>
      </c>
      <c r="E623" s="372" t="s">
        <v>271</v>
      </c>
      <c r="F623" s="197">
        <v>2640</v>
      </c>
      <c r="G623" s="197">
        <v>2640</v>
      </c>
      <c r="H623" s="197">
        <v>2640</v>
      </c>
    </row>
    <row r="624" spans="1:8">
      <c r="A624" s="372" t="s">
        <v>594</v>
      </c>
      <c r="B624" s="372" t="s">
        <v>203</v>
      </c>
      <c r="C624" s="372" t="s">
        <v>202</v>
      </c>
      <c r="D624" s="372" t="s">
        <v>1106</v>
      </c>
      <c r="E624" s="373"/>
      <c r="F624" s="197">
        <v>733</v>
      </c>
      <c r="G624" s="197">
        <v>733</v>
      </c>
      <c r="H624" s="197">
        <v>733</v>
      </c>
    </row>
    <row r="625" spans="1:8" ht="63">
      <c r="A625" s="372" t="s">
        <v>610</v>
      </c>
      <c r="B625" s="372" t="s">
        <v>203</v>
      </c>
      <c r="C625" s="372" t="s">
        <v>202</v>
      </c>
      <c r="D625" s="372" t="s">
        <v>1108</v>
      </c>
      <c r="E625" s="373"/>
      <c r="F625" s="197">
        <v>733</v>
      </c>
      <c r="G625" s="197">
        <v>733</v>
      </c>
      <c r="H625" s="197">
        <v>733</v>
      </c>
    </row>
    <row r="626" spans="1:8" ht="31.5">
      <c r="A626" s="372" t="s">
        <v>552</v>
      </c>
      <c r="B626" s="372" t="s">
        <v>203</v>
      </c>
      <c r="C626" s="372" t="s">
        <v>202</v>
      </c>
      <c r="D626" s="372" t="s">
        <v>1108</v>
      </c>
      <c r="E626" s="372" t="s">
        <v>271</v>
      </c>
      <c r="F626" s="197">
        <v>733</v>
      </c>
      <c r="G626" s="197">
        <v>733</v>
      </c>
      <c r="H626" s="197">
        <v>733</v>
      </c>
    </row>
    <row r="627" spans="1:8" ht="47.25">
      <c r="A627" s="372" t="s">
        <v>1265</v>
      </c>
      <c r="B627" s="373"/>
      <c r="C627" s="373"/>
      <c r="D627" s="372" t="s">
        <v>1266</v>
      </c>
      <c r="E627" s="373"/>
      <c r="F627" s="197">
        <v>9432.6404299999995</v>
      </c>
      <c r="G627" s="197">
        <v>0</v>
      </c>
      <c r="H627" s="197">
        <v>0</v>
      </c>
    </row>
    <row r="628" spans="1:8">
      <c r="A628" s="372" t="s">
        <v>677</v>
      </c>
      <c r="B628" s="373"/>
      <c r="C628" s="373"/>
      <c r="D628" s="372" t="s">
        <v>1267</v>
      </c>
      <c r="E628" s="373"/>
      <c r="F628" s="197">
        <v>9432.6404299999995</v>
      </c>
      <c r="G628" s="197">
        <v>0</v>
      </c>
      <c r="H628" s="197">
        <v>0</v>
      </c>
    </row>
    <row r="629" spans="1:8">
      <c r="A629" s="372" t="s">
        <v>1438</v>
      </c>
      <c r="B629" s="373"/>
      <c r="C629" s="373"/>
      <c r="D629" s="372" t="s">
        <v>1267</v>
      </c>
      <c r="E629" s="373"/>
      <c r="F629" s="197">
        <v>9432.6404299999995</v>
      </c>
      <c r="G629" s="197">
        <v>0</v>
      </c>
      <c r="H629" s="197">
        <v>0</v>
      </c>
    </row>
    <row r="630" spans="1:8" ht="31.5">
      <c r="A630" s="372" t="s">
        <v>629</v>
      </c>
      <c r="B630" s="372" t="s">
        <v>195</v>
      </c>
      <c r="C630" s="372" t="s">
        <v>201</v>
      </c>
      <c r="D630" s="372" t="s">
        <v>1267</v>
      </c>
      <c r="E630" s="373"/>
      <c r="F630" s="197">
        <v>1052.6320000000001</v>
      </c>
      <c r="G630" s="197">
        <v>0</v>
      </c>
      <c r="H630" s="197">
        <v>0</v>
      </c>
    </row>
    <row r="631" spans="1:8" ht="47.25">
      <c r="A631" s="372" t="s">
        <v>1366</v>
      </c>
      <c r="B631" s="372" t="s">
        <v>195</v>
      </c>
      <c r="C631" s="372" t="s">
        <v>201</v>
      </c>
      <c r="D631" s="372" t="s">
        <v>1367</v>
      </c>
      <c r="E631" s="373"/>
      <c r="F631" s="197">
        <v>1052.6320000000001</v>
      </c>
      <c r="G631" s="197">
        <v>0</v>
      </c>
      <c r="H631" s="197">
        <v>0</v>
      </c>
    </row>
    <row r="632" spans="1:8" ht="47.25">
      <c r="A632" s="372" t="s">
        <v>551</v>
      </c>
      <c r="B632" s="372" t="s">
        <v>195</v>
      </c>
      <c r="C632" s="372" t="s">
        <v>201</v>
      </c>
      <c r="D632" s="372" t="s">
        <v>1367</v>
      </c>
      <c r="E632" s="372" t="s">
        <v>266</v>
      </c>
      <c r="F632" s="197">
        <v>1052.6320000000001</v>
      </c>
      <c r="G632" s="197">
        <v>0</v>
      </c>
      <c r="H632" s="197">
        <v>0</v>
      </c>
    </row>
    <row r="633" spans="1:8">
      <c r="A633" s="372" t="s">
        <v>1166</v>
      </c>
      <c r="B633" s="372" t="s">
        <v>4</v>
      </c>
      <c r="C633" s="372" t="s">
        <v>198</v>
      </c>
      <c r="D633" s="372" t="s">
        <v>1267</v>
      </c>
      <c r="E633" s="373"/>
      <c r="F633" s="197">
        <v>1052.6400000000001</v>
      </c>
      <c r="G633" s="197">
        <v>0</v>
      </c>
      <c r="H633" s="197">
        <v>0</v>
      </c>
    </row>
    <row r="634" spans="1:8" ht="31.5">
      <c r="A634" s="372" t="s">
        <v>1368</v>
      </c>
      <c r="B634" s="372" t="s">
        <v>4</v>
      </c>
      <c r="C634" s="372" t="s">
        <v>198</v>
      </c>
      <c r="D634" s="372" t="s">
        <v>1369</v>
      </c>
      <c r="E634" s="373"/>
      <c r="F634" s="197">
        <v>1052.6400000000001</v>
      </c>
      <c r="G634" s="197">
        <v>0</v>
      </c>
      <c r="H634" s="197">
        <v>0</v>
      </c>
    </row>
    <row r="635" spans="1:8" ht="47.25">
      <c r="A635" s="372" t="s">
        <v>547</v>
      </c>
      <c r="B635" s="372" t="s">
        <v>4</v>
      </c>
      <c r="C635" s="372" t="s">
        <v>198</v>
      </c>
      <c r="D635" s="372" t="s">
        <v>1369</v>
      </c>
      <c r="E635" s="372" t="s">
        <v>268</v>
      </c>
      <c r="F635" s="197">
        <v>1052.6400000000001</v>
      </c>
      <c r="G635" s="197">
        <v>0</v>
      </c>
      <c r="H635" s="197">
        <v>0</v>
      </c>
    </row>
    <row r="636" spans="1:8">
      <c r="A636" s="372" t="s">
        <v>545</v>
      </c>
      <c r="B636" s="372" t="s">
        <v>197</v>
      </c>
      <c r="C636" s="372" t="s">
        <v>200</v>
      </c>
      <c r="D636" s="372" t="s">
        <v>1267</v>
      </c>
      <c r="E636" s="373"/>
      <c r="F636" s="197">
        <v>1157.89474</v>
      </c>
      <c r="G636" s="197">
        <v>0</v>
      </c>
      <c r="H636" s="197">
        <v>0</v>
      </c>
    </row>
    <row r="637" spans="1:8" ht="47.25">
      <c r="A637" s="372" t="s">
        <v>1268</v>
      </c>
      <c r="B637" s="372" t="s">
        <v>197</v>
      </c>
      <c r="C637" s="372" t="s">
        <v>200</v>
      </c>
      <c r="D637" s="372" t="s">
        <v>1269</v>
      </c>
      <c r="E637" s="373"/>
      <c r="F637" s="197">
        <v>1157.89474</v>
      </c>
      <c r="G637" s="197">
        <v>0</v>
      </c>
      <c r="H637" s="197">
        <v>0</v>
      </c>
    </row>
    <row r="638" spans="1:8" ht="47.25">
      <c r="A638" s="372" t="s">
        <v>547</v>
      </c>
      <c r="B638" s="372" t="s">
        <v>197</v>
      </c>
      <c r="C638" s="372" t="s">
        <v>200</v>
      </c>
      <c r="D638" s="372" t="s">
        <v>1269</v>
      </c>
      <c r="E638" s="372" t="s">
        <v>268</v>
      </c>
      <c r="F638" s="197">
        <v>1157.89474</v>
      </c>
      <c r="G638" s="197">
        <v>0</v>
      </c>
      <c r="H638" s="197">
        <v>0</v>
      </c>
    </row>
    <row r="639" spans="1:8">
      <c r="A639" s="372" t="s">
        <v>555</v>
      </c>
      <c r="B639" s="372" t="s">
        <v>197</v>
      </c>
      <c r="C639" s="372" t="s">
        <v>198</v>
      </c>
      <c r="D639" s="372" t="s">
        <v>1267</v>
      </c>
      <c r="E639" s="373"/>
      <c r="F639" s="197">
        <v>1473.6842099999999</v>
      </c>
      <c r="G639" s="197">
        <v>0</v>
      </c>
      <c r="H639" s="197">
        <v>0</v>
      </c>
    </row>
    <row r="640" spans="1:8" ht="47.25">
      <c r="A640" s="372" t="s">
        <v>1268</v>
      </c>
      <c r="B640" s="372" t="s">
        <v>197</v>
      </c>
      <c r="C640" s="372" t="s">
        <v>198</v>
      </c>
      <c r="D640" s="372" t="s">
        <v>1269</v>
      </c>
      <c r="E640" s="373"/>
      <c r="F640" s="197">
        <v>1473.6842099999999</v>
      </c>
      <c r="G640" s="197">
        <v>0</v>
      </c>
      <c r="H640" s="197">
        <v>0</v>
      </c>
    </row>
    <row r="641" spans="1:8" ht="47.25">
      <c r="A641" s="372" t="s">
        <v>547</v>
      </c>
      <c r="B641" s="372" t="s">
        <v>197</v>
      </c>
      <c r="C641" s="372" t="s">
        <v>198</v>
      </c>
      <c r="D641" s="372" t="s">
        <v>1269</v>
      </c>
      <c r="E641" s="372" t="s">
        <v>268</v>
      </c>
      <c r="F641" s="197">
        <v>1473.6842099999999</v>
      </c>
      <c r="G641" s="197">
        <v>0</v>
      </c>
      <c r="H641" s="197">
        <v>0</v>
      </c>
    </row>
    <row r="642" spans="1:8">
      <c r="A642" s="372" t="s">
        <v>562</v>
      </c>
      <c r="B642" s="372" t="s">
        <v>197</v>
      </c>
      <c r="C642" s="372" t="s">
        <v>202</v>
      </c>
      <c r="D642" s="372" t="s">
        <v>1267</v>
      </c>
      <c r="E642" s="373"/>
      <c r="F642" s="197">
        <v>2526.3157999999999</v>
      </c>
      <c r="G642" s="197">
        <v>0</v>
      </c>
      <c r="H642" s="197">
        <v>0</v>
      </c>
    </row>
    <row r="643" spans="1:8" ht="47.25">
      <c r="A643" s="372" t="s">
        <v>1268</v>
      </c>
      <c r="B643" s="372" t="s">
        <v>197</v>
      </c>
      <c r="C643" s="372" t="s">
        <v>202</v>
      </c>
      <c r="D643" s="372" t="s">
        <v>1269</v>
      </c>
      <c r="E643" s="373"/>
      <c r="F643" s="197">
        <v>2526.3157999999999</v>
      </c>
      <c r="G643" s="197">
        <v>0</v>
      </c>
      <c r="H643" s="197">
        <v>0</v>
      </c>
    </row>
    <row r="644" spans="1:8" ht="47.25">
      <c r="A644" s="372" t="s">
        <v>547</v>
      </c>
      <c r="B644" s="372" t="s">
        <v>197</v>
      </c>
      <c r="C644" s="372" t="s">
        <v>202</v>
      </c>
      <c r="D644" s="372" t="s">
        <v>1269</v>
      </c>
      <c r="E644" s="372" t="s">
        <v>268</v>
      </c>
      <c r="F644" s="197">
        <v>2526.3157999999999</v>
      </c>
      <c r="G644" s="197">
        <v>0</v>
      </c>
      <c r="H644" s="197">
        <v>0</v>
      </c>
    </row>
    <row r="645" spans="1:8">
      <c r="A645" s="372" t="s">
        <v>573</v>
      </c>
      <c r="B645" s="372" t="s">
        <v>199</v>
      </c>
      <c r="C645" s="372" t="s">
        <v>200</v>
      </c>
      <c r="D645" s="372" t="s">
        <v>1267</v>
      </c>
      <c r="E645" s="373"/>
      <c r="F645" s="197">
        <v>1853.6842099999999</v>
      </c>
      <c r="G645" s="197">
        <v>0</v>
      </c>
      <c r="H645" s="197">
        <v>0</v>
      </c>
    </row>
    <row r="646" spans="1:8" ht="47.25">
      <c r="A646" s="372" t="s">
        <v>1347</v>
      </c>
      <c r="B646" s="372" t="s">
        <v>199</v>
      </c>
      <c r="C646" s="372" t="s">
        <v>200</v>
      </c>
      <c r="D646" s="372" t="s">
        <v>1348</v>
      </c>
      <c r="E646" s="373"/>
      <c r="F646" s="197">
        <v>1853.6842099999999</v>
      </c>
      <c r="G646" s="197">
        <v>0</v>
      </c>
      <c r="H646" s="197">
        <v>0</v>
      </c>
    </row>
    <row r="647" spans="1:8" ht="47.25">
      <c r="A647" s="372" t="s">
        <v>547</v>
      </c>
      <c r="B647" s="372" t="s">
        <v>199</v>
      </c>
      <c r="C647" s="372" t="s">
        <v>200</v>
      </c>
      <c r="D647" s="372" t="s">
        <v>1348</v>
      </c>
      <c r="E647" s="372" t="s">
        <v>268</v>
      </c>
      <c r="F647" s="197">
        <v>1853.6842099999999</v>
      </c>
      <c r="G647" s="197">
        <v>0</v>
      </c>
      <c r="H647" s="197">
        <v>0</v>
      </c>
    </row>
    <row r="648" spans="1:8">
      <c r="A648" s="372" t="s">
        <v>589</v>
      </c>
      <c r="B648" s="372" t="s">
        <v>5</v>
      </c>
      <c r="C648" s="372" t="s">
        <v>198</v>
      </c>
      <c r="D648" s="372" t="s">
        <v>1267</v>
      </c>
      <c r="E648" s="373"/>
      <c r="F648" s="197">
        <v>315.78946999999999</v>
      </c>
      <c r="G648" s="197">
        <v>0</v>
      </c>
      <c r="H648" s="197">
        <v>0</v>
      </c>
    </row>
    <row r="649" spans="1:8" ht="78.75">
      <c r="A649" s="372" t="s">
        <v>1349</v>
      </c>
      <c r="B649" s="372" t="s">
        <v>5</v>
      </c>
      <c r="C649" s="372" t="s">
        <v>198</v>
      </c>
      <c r="D649" s="372" t="s">
        <v>1350</v>
      </c>
      <c r="E649" s="373"/>
      <c r="F649" s="197">
        <v>315.78946999999999</v>
      </c>
      <c r="G649" s="197">
        <v>0</v>
      </c>
      <c r="H649" s="197">
        <v>0</v>
      </c>
    </row>
    <row r="650" spans="1:8" ht="47.25">
      <c r="A650" s="372" t="s">
        <v>547</v>
      </c>
      <c r="B650" s="372" t="s">
        <v>5</v>
      </c>
      <c r="C650" s="372" t="s">
        <v>198</v>
      </c>
      <c r="D650" s="372" t="s">
        <v>1350</v>
      </c>
      <c r="E650" s="372" t="s">
        <v>268</v>
      </c>
      <c r="F650" s="197">
        <v>315.78946999999999</v>
      </c>
      <c r="G650" s="197">
        <v>0</v>
      </c>
      <c r="H650" s="197">
        <v>0</v>
      </c>
    </row>
    <row r="651" spans="1:8" ht="47.25">
      <c r="A651" s="372" t="s">
        <v>446</v>
      </c>
      <c r="B651" s="373"/>
      <c r="C651" s="373"/>
      <c r="D651" s="372" t="s">
        <v>444</v>
      </c>
      <c r="E651" s="373"/>
      <c r="F651" s="197">
        <v>11103.266530000001</v>
      </c>
      <c r="G651" s="197">
        <v>0</v>
      </c>
      <c r="H651" s="197">
        <v>0</v>
      </c>
    </row>
    <row r="652" spans="1:8">
      <c r="A652" s="372" t="s">
        <v>677</v>
      </c>
      <c r="B652" s="373"/>
      <c r="C652" s="373"/>
      <c r="D652" s="372" t="s">
        <v>445</v>
      </c>
      <c r="E652" s="373"/>
      <c r="F652" s="197">
        <v>11103.266530000001</v>
      </c>
      <c r="G652" s="197">
        <v>0</v>
      </c>
      <c r="H652" s="197">
        <v>0</v>
      </c>
    </row>
    <row r="653" spans="1:8">
      <c r="A653" s="372" t="s">
        <v>1438</v>
      </c>
      <c r="B653" s="373"/>
      <c r="C653" s="373"/>
      <c r="D653" s="372" t="s">
        <v>445</v>
      </c>
      <c r="E653" s="373"/>
      <c r="F653" s="197">
        <v>11103.266530000001</v>
      </c>
      <c r="G653" s="197">
        <v>0</v>
      </c>
      <c r="H653" s="197">
        <v>0</v>
      </c>
    </row>
    <row r="654" spans="1:8" ht="31.5">
      <c r="A654" s="372" t="s">
        <v>577</v>
      </c>
      <c r="B654" s="372" t="s">
        <v>200</v>
      </c>
      <c r="C654" s="372" t="s">
        <v>6</v>
      </c>
      <c r="D654" s="372" t="s">
        <v>445</v>
      </c>
      <c r="E654" s="373"/>
      <c r="F654" s="197">
        <v>1776.6606899999999</v>
      </c>
      <c r="G654" s="197">
        <v>0</v>
      </c>
      <c r="H654" s="197">
        <v>0</v>
      </c>
    </row>
    <row r="655" spans="1:8" ht="31.5">
      <c r="A655" s="372" t="s">
        <v>1180</v>
      </c>
      <c r="B655" s="372" t="s">
        <v>200</v>
      </c>
      <c r="C655" s="372" t="s">
        <v>6</v>
      </c>
      <c r="D655" s="372" t="s">
        <v>1181</v>
      </c>
      <c r="E655" s="373"/>
      <c r="F655" s="197">
        <v>957.36068999999998</v>
      </c>
      <c r="G655" s="197">
        <v>0</v>
      </c>
      <c r="H655" s="197">
        <v>0</v>
      </c>
    </row>
    <row r="656" spans="1:8" ht="47.25">
      <c r="A656" s="372" t="s">
        <v>551</v>
      </c>
      <c r="B656" s="372" t="s">
        <v>200</v>
      </c>
      <c r="C656" s="372" t="s">
        <v>6</v>
      </c>
      <c r="D656" s="372" t="s">
        <v>1181</v>
      </c>
      <c r="E656" s="372" t="s">
        <v>266</v>
      </c>
      <c r="F656" s="197">
        <v>957.36068999999998</v>
      </c>
      <c r="G656" s="197">
        <v>0</v>
      </c>
      <c r="H656" s="197">
        <v>0</v>
      </c>
    </row>
    <row r="657" spans="1:8" ht="173.25">
      <c r="A657" s="372" t="s">
        <v>1227</v>
      </c>
      <c r="B657" s="372" t="s">
        <v>200</v>
      </c>
      <c r="C657" s="372" t="s">
        <v>6</v>
      </c>
      <c r="D657" s="372" t="s">
        <v>1228</v>
      </c>
      <c r="E657" s="373"/>
      <c r="F657" s="197">
        <v>819.3</v>
      </c>
      <c r="G657" s="197">
        <v>0</v>
      </c>
      <c r="H657" s="197">
        <v>0</v>
      </c>
    </row>
    <row r="658" spans="1:8" ht="47.25">
      <c r="A658" s="372" t="s">
        <v>551</v>
      </c>
      <c r="B658" s="372" t="s">
        <v>200</v>
      </c>
      <c r="C658" s="372" t="s">
        <v>6</v>
      </c>
      <c r="D658" s="372" t="s">
        <v>1228</v>
      </c>
      <c r="E658" s="372" t="s">
        <v>266</v>
      </c>
      <c r="F658" s="197">
        <v>819.3</v>
      </c>
      <c r="G658" s="197">
        <v>0</v>
      </c>
      <c r="H658" s="197">
        <v>0</v>
      </c>
    </row>
    <row r="659" spans="1:8" ht="63">
      <c r="A659" s="372" t="s">
        <v>635</v>
      </c>
      <c r="B659" s="372" t="s">
        <v>202</v>
      </c>
      <c r="C659" s="372" t="s">
        <v>201</v>
      </c>
      <c r="D659" s="372" t="s">
        <v>445</v>
      </c>
      <c r="E659" s="373"/>
      <c r="F659" s="197">
        <v>199.47094999999999</v>
      </c>
      <c r="G659" s="197">
        <v>0</v>
      </c>
      <c r="H659" s="197">
        <v>0</v>
      </c>
    </row>
    <row r="660" spans="1:8" ht="31.5">
      <c r="A660" s="372" t="s">
        <v>1180</v>
      </c>
      <c r="B660" s="372" t="s">
        <v>202</v>
      </c>
      <c r="C660" s="372" t="s">
        <v>201</v>
      </c>
      <c r="D660" s="372" t="s">
        <v>1181</v>
      </c>
      <c r="E660" s="373"/>
      <c r="F660" s="197">
        <v>199.47094999999999</v>
      </c>
      <c r="G660" s="197">
        <v>0</v>
      </c>
      <c r="H660" s="197">
        <v>0</v>
      </c>
    </row>
    <row r="661" spans="1:8" ht="47.25">
      <c r="A661" s="372" t="s">
        <v>551</v>
      </c>
      <c r="B661" s="372" t="s">
        <v>202</v>
      </c>
      <c r="C661" s="372" t="s">
        <v>201</v>
      </c>
      <c r="D661" s="372" t="s">
        <v>1181</v>
      </c>
      <c r="E661" s="372" t="s">
        <v>266</v>
      </c>
      <c r="F661" s="197">
        <v>199.47094999999999</v>
      </c>
      <c r="G661" s="197">
        <v>0</v>
      </c>
      <c r="H661" s="197">
        <v>0</v>
      </c>
    </row>
    <row r="662" spans="1:8" ht="31.5">
      <c r="A662" s="372" t="s">
        <v>629</v>
      </c>
      <c r="B662" s="372" t="s">
        <v>195</v>
      </c>
      <c r="C662" s="372" t="s">
        <v>201</v>
      </c>
      <c r="D662" s="372" t="s">
        <v>445</v>
      </c>
      <c r="E662" s="373"/>
      <c r="F662" s="197">
        <v>2688.2508200000002</v>
      </c>
      <c r="G662" s="197">
        <v>0</v>
      </c>
      <c r="H662" s="197">
        <v>0</v>
      </c>
    </row>
    <row r="663" spans="1:8" ht="31.5">
      <c r="A663" s="372" t="s">
        <v>1180</v>
      </c>
      <c r="B663" s="372" t="s">
        <v>195</v>
      </c>
      <c r="C663" s="372" t="s">
        <v>201</v>
      </c>
      <c r="D663" s="372" t="s">
        <v>1181</v>
      </c>
      <c r="E663" s="373"/>
      <c r="F663" s="197">
        <v>2688.2508200000002</v>
      </c>
      <c r="G663" s="197">
        <v>0</v>
      </c>
      <c r="H663" s="197">
        <v>0</v>
      </c>
    </row>
    <row r="664" spans="1:8" ht="47.25">
      <c r="A664" s="372" t="s">
        <v>547</v>
      </c>
      <c r="B664" s="372" t="s">
        <v>195</v>
      </c>
      <c r="C664" s="372" t="s">
        <v>201</v>
      </c>
      <c r="D664" s="372" t="s">
        <v>1181</v>
      </c>
      <c r="E664" s="372" t="s">
        <v>268</v>
      </c>
      <c r="F664" s="197">
        <v>2688.2508200000002</v>
      </c>
      <c r="G664" s="197">
        <v>0</v>
      </c>
      <c r="H664" s="197">
        <v>0</v>
      </c>
    </row>
    <row r="665" spans="1:8">
      <c r="A665" s="372" t="s">
        <v>595</v>
      </c>
      <c r="B665" s="372" t="s">
        <v>4</v>
      </c>
      <c r="C665" s="372" t="s">
        <v>200</v>
      </c>
      <c r="D665" s="372" t="s">
        <v>445</v>
      </c>
      <c r="E665" s="373"/>
      <c r="F665" s="197">
        <v>5339.2745699999996</v>
      </c>
      <c r="G665" s="197">
        <v>0</v>
      </c>
      <c r="H665" s="197">
        <v>0</v>
      </c>
    </row>
    <row r="666" spans="1:8" ht="31.5">
      <c r="A666" s="372" t="s">
        <v>1180</v>
      </c>
      <c r="B666" s="372" t="s">
        <v>4</v>
      </c>
      <c r="C666" s="372" t="s">
        <v>200</v>
      </c>
      <c r="D666" s="372" t="s">
        <v>1181</v>
      </c>
      <c r="E666" s="373"/>
      <c r="F666" s="197">
        <v>5114.2435699999996</v>
      </c>
      <c r="G666" s="197">
        <v>0</v>
      </c>
      <c r="H666" s="197">
        <v>0</v>
      </c>
    </row>
    <row r="667" spans="1:8" ht="47.25">
      <c r="A667" s="372" t="s">
        <v>551</v>
      </c>
      <c r="B667" s="372" t="s">
        <v>4</v>
      </c>
      <c r="C667" s="372" t="s">
        <v>200</v>
      </c>
      <c r="D667" s="372" t="s">
        <v>1181</v>
      </c>
      <c r="E667" s="372" t="s">
        <v>266</v>
      </c>
      <c r="F667" s="197">
        <v>5114.2435699999996</v>
      </c>
      <c r="G667" s="197">
        <v>0</v>
      </c>
      <c r="H667" s="197">
        <v>0</v>
      </c>
    </row>
    <row r="668" spans="1:8" ht="94.5">
      <c r="A668" s="372" t="s">
        <v>1395</v>
      </c>
      <c r="B668" s="372" t="s">
        <v>4</v>
      </c>
      <c r="C668" s="372" t="s">
        <v>200</v>
      </c>
      <c r="D668" s="372" t="s">
        <v>1396</v>
      </c>
      <c r="E668" s="373"/>
      <c r="F668" s="197">
        <v>225.03100000000001</v>
      </c>
      <c r="G668" s="197">
        <v>0</v>
      </c>
      <c r="H668" s="197">
        <v>0</v>
      </c>
    </row>
    <row r="669" spans="1:8" ht="47.25">
      <c r="A669" s="372" t="s">
        <v>551</v>
      </c>
      <c r="B669" s="372" t="s">
        <v>4</v>
      </c>
      <c r="C669" s="372" t="s">
        <v>200</v>
      </c>
      <c r="D669" s="372" t="s">
        <v>1396</v>
      </c>
      <c r="E669" s="372" t="s">
        <v>266</v>
      </c>
      <c r="F669" s="197">
        <v>225.03100000000001</v>
      </c>
      <c r="G669" s="197">
        <v>0</v>
      </c>
      <c r="H669" s="197">
        <v>0</v>
      </c>
    </row>
    <row r="670" spans="1:8">
      <c r="A670" s="372" t="s">
        <v>545</v>
      </c>
      <c r="B670" s="372" t="s">
        <v>197</v>
      </c>
      <c r="C670" s="372" t="s">
        <v>200</v>
      </c>
      <c r="D670" s="372" t="s">
        <v>445</v>
      </c>
      <c r="E670" s="373"/>
      <c r="F670" s="197">
        <v>272.34728999999999</v>
      </c>
      <c r="G670" s="197">
        <v>0</v>
      </c>
      <c r="H670" s="197">
        <v>0</v>
      </c>
    </row>
    <row r="671" spans="1:8" ht="31.5">
      <c r="A671" s="372" t="s">
        <v>1180</v>
      </c>
      <c r="B671" s="372" t="s">
        <v>197</v>
      </c>
      <c r="C671" s="372" t="s">
        <v>200</v>
      </c>
      <c r="D671" s="372" t="s">
        <v>1181</v>
      </c>
      <c r="E671" s="373"/>
      <c r="F671" s="197">
        <v>167.34728999999999</v>
      </c>
      <c r="G671" s="197">
        <v>0</v>
      </c>
      <c r="H671" s="197">
        <v>0</v>
      </c>
    </row>
    <row r="672" spans="1:8" ht="47.25">
      <c r="A672" s="372" t="s">
        <v>547</v>
      </c>
      <c r="B672" s="372" t="s">
        <v>197</v>
      </c>
      <c r="C672" s="372" t="s">
        <v>200</v>
      </c>
      <c r="D672" s="372" t="s">
        <v>1181</v>
      </c>
      <c r="E672" s="372" t="s">
        <v>268</v>
      </c>
      <c r="F672" s="197">
        <v>167.34728999999999</v>
      </c>
      <c r="G672" s="197">
        <v>0</v>
      </c>
      <c r="H672" s="197">
        <v>0</v>
      </c>
    </row>
    <row r="673" spans="1:8" ht="47.25">
      <c r="A673" s="372" t="s">
        <v>1270</v>
      </c>
      <c r="B673" s="372" t="s">
        <v>197</v>
      </c>
      <c r="C673" s="372" t="s">
        <v>200</v>
      </c>
      <c r="D673" s="372" t="s">
        <v>1271</v>
      </c>
      <c r="E673" s="373"/>
      <c r="F673" s="197">
        <v>105</v>
      </c>
      <c r="G673" s="197">
        <v>0</v>
      </c>
      <c r="H673" s="197">
        <v>0</v>
      </c>
    </row>
    <row r="674" spans="1:8" ht="47.25">
      <c r="A674" s="372" t="s">
        <v>547</v>
      </c>
      <c r="B674" s="372" t="s">
        <v>197</v>
      </c>
      <c r="C674" s="372" t="s">
        <v>200</v>
      </c>
      <c r="D674" s="372" t="s">
        <v>1271</v>
      </c>
      <c r="E674" s="372" t="s">
        <v>268</v>
      </c>
      <c r="F674" s="197">
        <v>105</v>
      </c>
      <c r="G674" s="197">
        <v>0</v>
      </c>
      <c r="H674" s="197">
        <v>0</v>
      </c>
    </row>
    <row r="675" spans="1:8">
      <c r="A675" s="372" t="s">
        <v>555</v>
      </c>
      <c r="B675" s="372" t="s">
        <v>197</v>
      </c>
      <c r="C675" s="372" t="s">
        <v>198</v>
      </c>
      <c r="D675" s="372" t="s">
        <v>445</v>
      </c>
      <c r="E675" s="373"/>
      <c r="F675" s="197">
        <v>710.52452000000005</v>
      </c>
      <c r="G675" s="197">
        <v>0</v>
      </c>
      <c r="H675" s="197">
        <v>0</v>
      </c>
    </row>
    <row r="676" spans="1:8" ht="31.5">
      <c r="A676" s="372" t="s">
        <v>1180</v>
      </c>
      <c r="B676" s="372" t="s">
        <v>197</v>
      </c>
      <c r="C676" s="372" t="s">
        <v>198</v>
      </c>
      <c r="D676" s="372" t="s">
        <v>1181</v>
      </c>
      <c r="E676" s="373"/>
      <c r="F676" s="197">
        <v>659.52452000000005</v>
      </c>
      <c r="G676" s="197">
        <v>0</v>
      </c>
      <c r="H676" s="197">
        <v>0</v>
      </c>
    </row>
    <row r="677" spans="1:8" ht="47.25">
      <c r="A677" s="372" t="s">
        <v>547</v>
      </c>
      <c r="B677" s="372" t="s">
        <v>197</v>
      </c>
      <c r="C677" s="372" t="s">
        <v>198</v>
      </c>
      <c r="D677" s="372" t="s">
        <v>1181</v>
      </c>
      <c r="E677" s="372" t="s">
        <v>268</v>
      </c>
      <c r="F677" s="197">
        <v>659.52452000000005</v>
      </c>
      <c r="G677" s="197">
        <v>0</v>
      </c>
      <c r="H677" s="197">
        <v>0</v>
      </c>
    </row>
    <row r="678" spans="1:8" ht="47.25">
      <c r="A678" s="372" t="s">
        <v>1270</v>
      </c>
      <c r="B678" s="372" t="s">
        <v>197</v>
      </c>
      <c r="C678" s="372" t="s">
        <v>198</v>
      </c>
      <c r="D678" s="372" t="s">
        <v>1271</v>
      </c>
      <c r="E678" s="373"/>
      <c r="F678" s="197">
        <v>51</v>
      </c>
      <c r="G678" s="197">
        <v>0</v>
      </c>
      <c r="H678" s="197">
        <v>0</v>
      </c>
    </row>
    <row r="679" spans="1:8" ht="47.25">
      <c r="A679" s="372" t="s">
        <v>547</v>
      </c>
      <c r="B679" s="372" t="s">
        <v>197</v>
      </c>
      <c r="C679" s="372" t="s">
        <v>198</v>
      </c>
      <c r="D679" s="372" t="s">
        <v>1271</v>
      </c>
      <c r="E679" s="372" t="s">
        <v>268</v>
      </c>
      <c r="F679" s="197">
        <v>51</v>
      </c>
      <c r="G679" s="197">
        <v>0</v>
      </c>
      <c r="H679" s="197">
        <v>0</v>
      </c>
    </row>
    <row r="680" spans="1:8">
      <c r="A680" s="372" t="s">
        <v>562</v>
      </c>
      <c r="B680" s="372" t="s">
        <v>197</v>
      </c>
      <c r="C680" s="372" t="s">
        <v>202</v>
      </c>
      <c r="D680" s="372" t="s">
        <v>445</v>
      </c>
      <c r="E680" s="373"/>
      <c r="F680" s="197">
        <v>101.14839000000001</v>
      </c>
      <c r="G680" s="197">
        <v>0</v>
      </c>
      <c r="H680" s="197">
        <v>0</v>
      </c>
    </row>
    <row r="681" spans="1:8" ht="31.5">
      <c r="A681" s="372" t="s">
        <v>1180</v>
      </c>
      <c r="B681" s="372" t="s">
        <v>197</v>
      </c>
      <c r="C681" s="372" t="s">
        <v>202</v>
      </c>
      <c r="D681" s="372" t="s">
        <v>1181</v>
      </c>
      <c r="E681" s="373"/>
      <c r="F681" s="197">
        <v>83.148390000000006</v>
      </c>
      <c r="G681" s="197">
        <v>0</v>
      </c>
      <c r="H681" s="197">
        <v>0</v>
      </c>
    </row>
    <row r="682" spans="1:8" ht="47.25">
      <c r="A682" s="372" t="s">
        <v>547</v>
      </c>
      <c r="B682" s="372" t="s">
        <v>197</v>
      </c>
      <c r="C682" s="372" t="s">
        <v>202</v>
      </c>
      <c r="D682" s="372" t="s">
        <v>1181</v>
      </c>
      <c r="E682" s="372" t="s">
        <v>268</v>
      </c>
      <c r="F682" s="197">
        <v>83.148390000000006</v>
      </c>
      <c r="G682" s="197">
        <v>0</v>
      </c>
      <c r="H682" s="197">
        <v>0</v>
      </c>
    </row>
    <row r="683" spans="1:8" ht="47.25">
      <c r="A683" s="372" t="s">
        <v>1270</v>
      </c>
      <c r="B683" s="372" t="s">
        <v>197</v>
      </c>
      <c r="C683" s="372" t="s">
        <v>202</v>
      </c>
      <c r="D683" s="372" t="s">
        <v>1271</v>
      </c>
      <c r="E683" s="373"/>
      <c r="F683" s="197">
        <v>18</v>
      </c>
      <c r="G683" s="197">
        <v>0</v>
      </c>
      <c r="H683" s="197">
        <v>0</v>
      </c>
    </row>
    <row r="684" spans="1:8" ht="47.25">
      <c r="A684" s="372" t="s">
        <v>547</v>
      </c>
      <c r="B684" s="372" t="s">
        <v>197</v>
      </c>
      <c r="C684" s="372" t="s">
        <v>202</v>
      </c>
      <c r="D684" s="372" t="s">
        <v>1271</v>
      </c>
      <c r="E684" s="372" t="s">
        <v>268</v>
      </c>
      <c r="F684" s="197">
        <v>18</v>
      </c>
      <c r="G684" s="197">
        <v>0</v>
      </c>
      <c r="H684" s="197">
        <v>0</v>
      </c>
    </row>
    <row r="685" spans="1:8">
      <c r="A685" s="372" t="s">
        <v>573</v>
      </c>
      <c r="B685" s="372" t="s">
        <v>199</v>
      </c>
      <c r="C685" s="372" t="s">
        <v>200</v>
      </c>
      <c r="D685" s="372" t="s">
        <v>445</v>
      </c>
      <c r="E685" s="373"/>
      <c r="F685" s="197">
        <v>12</v>
      </c>
      <c r="G685" s="197">
        <v>0</v>
      </c>
      <c r="H685" s="197">
        <v>0</v>
      </c>
    </row>
    <row r="686" spans="1:8" ht="47.25">
      <c r="A686" s="372" t="s">
        <v>1270</v>
      </c>
      <c r="B686" s="372" t="s">
        <v>199</v>
      </c>
      <c r="C686" s="372" t="s">
        <v>200</v>
      </c>
      <c r="D686" s="372" t="s">
        <v>1271</v>
      </c>
      <c r="E686" s="373"/>
      <c r="F686" s="197">
        <v>12</v>
      </c>
      <c r="G686" s="197">
        <v>0</v>
      </c>
      <c r="H686" s="197">
        <v>0</v>
      </c>
    </row>
    <row r="687" spans="1:8" ht="47.25">
      <c r="A687" s="372" t="s">
        <v>547</v>
      </c>
      <c r="B687" s="372" t="s">
        <v>199</v>
      </c>
      <c r="C687" s="372" t="s">
        <v>200</v>
      </c>
      <c r="D687" s="372" t="s">
        <v>1271</v>
      </c>
      <c r="E687" s="372" t="s">
        <v>268</v>
      </c>
      <c r="F687" s="197">
        <v>12</v>
      </c>
      <c r="G687" s="197">
        <v>0</v>
      </c>
      <c r="H687" s="197">
        <v>0</v>
      </c>
    </row>
    <row r="688" spans="1:8">
      <c r="A688" s="372" t="s">
        <v>589</v>
      </c>
      <c r="B688" s="372" t="s">
        <v>5</v>
      </c>
      <c r="C688" s="372" t="s">
        <v>198</v>
      </c>
      <c r="D688" s="372" t="s">
        <v>445</v>
      </c>
      <c r="E688" s="373"/>
      <c r="F688" s="197">
        <v>3</v>
      </c>
      <c r="G688" s="197">
        <v>0</v>
      </c>
      <c r="H688" s="197">
        <v>0</v>
      </c>
    </row>
    <row r="689" spans="1:8" ht="47.25">
      <c r="A689" s="372" t="s">
        <v>1270</v>
      </c>
      <c r="B689" s="372" t="s">
        <v>5</v>
      </c>
      <c r="C689" s="372" t="s">
        <v>198</v>
      </c>
      <c r="D689" s="372" t="s">
        <v>1271</v>
      </c>
      <c r="E689" s="373"/>
      <c r="F689" s="197">
        <v>3</v>
      </c>
      <c r="G689" s="197">
        <v>0</v>
      </c>
      <c r="H689" s="197">
        <v>0</v>
      </c>
    </row>
    <row r="690" spans="1:8" ht="47.25">
      <c r="A690" s="372" t="s">
        <v>547</v>
      </c>
      <c r="B690" s="372" t="s">
        <v>5</v>
      </c>
      <c r="C690" s="372" t="s">
        <v>198</v>
      </c>
      <c r="D690" s="372" t="s">
        <v>1271</v>
      </c>
      <c r="E690" s="372" t="s">
        <v>268</v>
      </c>
      <c r="F690" s="197">
        <v>3</v>
      </c>
      <c r="G690" s="197">
        <v>0</v>
      </c>
      <c r="H690" s="197">
        <v>0</v>
      </c>
    </row>
    <row r="691" spans="1:8" ht="31.5">
      <c r="A691" s="372" t="s">
        <v>665</v>
      </c>
      <c r="B691" s="372" t="s">
        <v>5</v>
      </c>
      <c r="C691" s="372" t="s">
        <v>4</v>
      </c>
      <c r="D691" s="372" t="s">
        <v>445</v>
      </c>
      <c r="E691" s="373"/>
      <c r="F691" s="197">
        <v>0.58930000000000005</v>
      </c>
      <c r="G691" s="197">
        <v>0</v>
      </c>
      <c r="H691" s="197">
        <v>0</v>
      </c>
    </row>
    <row r="692" spans="1:8" ht="126">
      <c r="A692" s="372" t="s">
        <v>1229</v>
      </c>
      <c r="B692" s="372" t="s">
        <v>5</v>
      </c>
      <c r="C692" s="372" t="s">
        <v>4</v>
      </c>
      <c r="D692" s="372" t="s">
        <v>1230</v>
      </c>
      <c r="E692" s="373"/>
      <c r="F692" s="197">
        <v>0.58930000000000005</v>
      </c>
      <c r="G692" s="197">
        <v>0</v>
      </c>
      <c r="H692" s="197">
        <v>0</v>
      </c>
    </row>
    <row r="693" spans="1:8" ht="47.25">
      <c r="A693" s="372" t="s">
        <v>551</v>
      </c>
      <c r="B693" s="372" t="s">
        <v>5</v>
      </c>
      <c r="C693" s="372" t="s">
        <v>4</v>
      </c>
      <c r="D693" s="372" t="s">
        <v>1230</v>
      </c>
      <c r="E693" s="372" t="s">
        <v>266</v>
      </c>
      <c r="F693" s="197">
        <v>0.58930000000000005</v>
      </c>
      <c r="G693" s="197">
        <v>0</v>
      </c>
      <c r="H693" s="197">
        <v>0</v>
      </c>
    </row>
    <row r="694" spans="1:8">
      <c r="A694" s="374" t="s">
        <v>542</v>
      </c>
      <c r="B694" s="374"/>
      <c r="C694" s="374"/>
      <c r="D694" s="374"/>
      <c r="E694" s="374"/>
      <c r="F694" s="200">
        <v>1453948.64485</v>
      </c>
      <c r="G694" s="200">
        <v>1104296.84353</v>
      </c>
      <c r="H694" s="200">
        <v>1100267.9025300001</v>
      </c>
    </row>
  </sheetData>
  <mergeCells count="13">
    <mergeCell ref="F6:F7"/>
    <mergeCell ref="G6:G7"/>
    <mergeCell ref="H6:H7"/>
    <mergeCell ref="A6:A7"/>
    <mergeCell ref="B6:B7"/>
    <mergeCell ref="C6:C7"/>
    <mergeCell ref="D6:D7"/>
    <mergeCell ref="E6:E7"/>
    <mergeCell ref="A1:H1"/>
    <mergeCell ref="A2:H2"/>
    <mergeCell ref="A3:H3"/>
    <mergeCell ref="A4:H4"/>
    <mergeCell ref="A5:H5"/>
  </mergeCells>
  <pageMargins left="0.98425196850393704" right="0.39370078740157483" top="0.59055118110236227" bottom="0.39370078740157483" header="0.31496062992125984" footer="0.31496062992125984"/>
  <pageSetup paperSize="9" scale="86" firstPageNumber="20" orientation="portrait" useFirstPageNumber="1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940"/>
  <sheetViews>
    <sheetView tabSelected="1" view="pageBreakPreview" topLeftCell="A873" zoomScale="75" zoomScaleNormal="100" zoomScaleSheetLayoutView="75" workbookViewId="0">
      <selection activeCell="E891" sqref="E891"/>
    </sheetView>
  </sheetViews>
  <sheetFormatPr defaultRowHeight="12.75"/>
  <cols>
    <col min="1" max="1" width="28" style="130" customWidth="1"/>
    <col min="2" max="2" width="5.21875" style="130" customWidth="1"/>
    <col min="3" max="3" width="3.5546875" style="130" customWidth="1"/>
    <col min="4" max="4" width="4" style="130" customWidth="1"/>
    <col min="5" max="5" width="11.109375" style="130" customWidth="1"/>
    <col min="6" max="6" width="4.44140625" style="130" customWidth="1"/>
    <col min="7" max="16384" width="8.88671875" style="130"/>
  </cols>
  <sheetData>
    <row r="1" spans="1:15" ht="134.25" customHeight="1">
      <c r="A1" s="371" t="s">
        <v>1387</v>
      </c>
      <c r="B1" s="371"/>
      <c r="C1" s="371"/>
      <c r="D1" s="371"/>
      <c r="E1" s="371"/>
      <c r="F1" s="371"/>
      <c r="G1" s="371"/>
      <c r="H1" s="371"/>
      <c r="I1" s="371"/>
      <c r="J1" s="127"/>
      <c r="K1" s="127"/>
      <c r="L1" s="127"/>
      <c r="M1" s="127"/>
      <c r="N1" s="127"/>
      <c r="O1" s="129"/>
    </row>
    <row r="2" spans="1:15" ht="110.25" customHeight="1">
      <c r="A2" s="371" t="s">
        <v>1245</v>
      </c>
      <c r="B2" s="371"/>
      <c r="C2" s="371"/>
      <c r="D2" s="371"/>
      <c r="E2" s="371"/>
      <c r="F2" s="371"/>
      <c r="G2" s="371"/>
      <c r="H2" s="371"/>
      <c r="I2" s="371"/>
      <c r="J2" s="118"/>
      <c r="K2" s="118"/>
      <c r="L2" s="118"/>
      <c r="M2" s="118"/>
      <c r="N2" s="118"/>
      <c r="O2" s="129"/>
    </row>
    <row r="3" spans="1:15" ht="87.75" customHeight="1">
      <c r="A3" s="331" t="s">
        <v>1159</v>
      </c>
      <c r="B3" s="331"/>
      <c r="C3" s="331"/>
      <c r="D3" s="331"/>
      <c r="E3" s="331"/>
      <c r="F3" s="331"/>
      <c r="G3" s="331"/>
      <c r="H3" s="331"/>
      <c r="I3" s="331"/>
      <c r="J3" s="118"/>
      <c r="K3" s="118"/>
      <c r="L3" s="118"/>
      <c r="M3" s="118"/>
      <c r="N3" s="118"/>
      <c r="O3" s="129"/>
    </row>
    <row r="4" spans="1:15" ht="15">
      <c r="A4" s="338"/>
      <c r="B4" s="339"/>
      <c r="C4" s="339"/>
      <c r="D4" s="339"/>
      <c r="E4" s="339"/>
      <c r="F4" s="339"/>
      <c r="G4" s="339"/>
      <c r="H4" s="339"/>
      <c r="I4" s="339"/>
      <c r="J4" s="207"/>
      <c r="K4" s="207"/>
      <c r="L4" s="207"/>
      <c r="M4" s="207"/>
      <c r="N4" s="207"/>
      <c r="O4" s="129"/>
    </row>
    <row r="5" spans="1:15" ht="15">
      <c r="A5" s="340" t="s">
        <v>745</v>
      </c>
      <c r="B5" s="341"/>
      <c r="C5" s="341"/>
      <c r="D5" s="341"/>
      <c r="E5" s="341"/>
      <c r="F5" s="341"/>
      <c r="G5" s="341"/>
      <c r="H5" s="341"/>
      <c r="I5" s="341"/>
      <c r="J5" s="208"/>
      <c r="K5" s="208"/>
      <c r="L5" s="208"/>
      <c r="M5" s="208"/>
      <c r="N5" s="208"/>
      <c r="O5" s="129"/>
    </row>
    <row r="6" spans="1:15" ht="15">
      <c r="A6" s="342" t="s">
        <v>748</v>
      </c>
      <c r="B6" s="342" t="s">
        <v>1246</v>
      </c>
      <c r="C6" s="342" t="s">
        <v>1247</v>
      </c>
      <c r="D6" s="342" t="s">
        <v>1248</v>
      </c>
      <c r="E6" s="342" t="s">
        <v>1249</v>
      </c>
      <c r="F6" s="342" t="s">
        <v>1250</v>
      </c>
      <c r="G6" s="342" t="s">
        <v>926</v>
      </c>
      <c r="H6" s="342" t="s">
        <v>927</v>
      </c>
      <c r="I6" s="342" t="s">
        <v>1158</v>
      </c>
      <c r="J6" s="127"/>
      <c r="K6" s="127"/>
      <c r="L6" s="127"/>
      <c r="M6" s="127"/>
      <c r="N6" s="127"/>
      <c r="O6" s="129"/>
    </row>
    <row r="7" spans="1:15" ht="15">
      <c r="A7" s="343"/>
      <c r="B7" s="343"/>
      <c r="C7" s="343"/>
      <c r="D7" s="343"/>
      <c r="E7" s="343"/>
      <c r="F7" s="343"/>
      <c r="G7" s="343"/>
      <c r="H7" s="343"/>
      <c r="I7" s="343"/>
      <c r="J7" s="127"/>
      <c r="K7" s="127"/>
      <c r="L7" s="127"/>
      <c r="M7" s="127"/>
      <c r="N7" s="127"/>
      <c r="O7" s="129"/>
    </row>
    <row r="8" spans="1:15" ht="15">
      <c r="A8" s="128">
        <v>1</v>
      </c>
      <c r="B8" s="128">
        <v>2</v>
      </c>
      <c r="C8" s="128">
        <v>3</v>
      </c>
      <c r="D8" s="128">
        <v>4</v>
      </c>
      <c r="E8" s="128">
        <v>5</v>
      </c>
      <c r="F8" s="128">
        <v>6</v>
      </c>
      <c r="G8" s="128">
        <v>7</v>
      </c>
      <c r="H8" s="128">
        <v>8</v>
      </c>
      <c r="I8" s="128">
        <v>9</v>
      </c>
      <c r="J8" s="127"/>
      <c r="K8" s="127"/>
      <c r="L8" s="127"/>
      <c r="M8" s="127"/>
      <c r="N8" s="127"/>
      <c r="O8" s="129"/>
    </row>
    <row r="9" spans="1:15" ht="47.25">
      <c r="A9" s="372" t="s">
        <v>467</v>
      </c>
      <c r="B9" s="372" t="s">
        <v>59</v>
      </c>
      <c r="C9" s="373"/>
      <c r="D9" s="373"/>
      <c r="E9" s="373"/>
      <c r="F9" s="373"/>
      <c r="G9" s="197">
        <v>108571.04762</v>
      </c>
      <c r="H9" s="197">
        <v>76603.474000000002</v>
      </c>
      <c r="I9" s="197">
        <v>71603.474000000002</v>
      </c>
    </row>
    <row r="10" spans="1:15" ht="31.5">
      <c r="A10" s="372" t="s">
        <v>468</v>
      </c>
      <c r="B10" s="372" t="s">
        <v>59</v>
      </c>
      <c r="C10" s="372" t="s">
        <v>200</v>
      </c>
      <c r="D10" s="373"/>
      <c r="E10" s="373"/>
      <c r="F10" s="373"/>
      <c r="G10" s="197">
        <v>3243.9839999999999</v>
      </c>
      <c r="H10" s="197">
        <v>3238.5</v>
      </c>
      <c r="I10" s="197">
        <v>3238.5</v>
      </c>
    </row>
    <row r="11" spans="1:15" ht="31.5">
      <c r="A11" s="372" t="s">
        <v>469</v>
      </c>
      <c r="B11" s="372" t="s">
        <v>59</v>
      </c>
      <c r="C11" s="372" t="s">
        <v>200</v>
      </c>
      <c r="D11" s="372" t="s">
        <v>6</v>
      </c>
      <c r="E11" s="373"/>
      <c r="F11" s="373"/>
      <c r="G11" s="197">
        <v>3243.9839999999999</v>
      </c>
      <c r="H11" s="197">
        <v>3238.5</v>
      </c>
      <c r="I11" s="197">
        <v>3238.5</v>
      </c>
    </row>
    <row r="12" spans="1:15" ht="63">
      <c r="A12" s="372" t="s">
        <v>470</v>
      </c>
      <c r="B12" s="372" t="s">
        <v>59</v>
      </c>
      <c r="C12" s="372" t="s">
        <v>200</v>
      </c>
      <c r="D12" s="372" t="s">
        <v>6</v>
      </c>
      <c r="E12" s="372" t="s">
        <v>325</v>
      </c>
      <c r="F12" s="373"/>
      <c r="G12" s="197">
        <v>3243.9839999999999</v>
      </c>
      <c r="H12" s="197">
        <v>3238.5</v>
      </c>
      <c r="I12" s="197">
        <v>3238.5</v>
      </c>
    </row>
    <row r="13" spans="1:15" ht="15.75">
      <c r="A13" s="372" t="s">
        <v>471</v>
      </c>
      <c r="B13" s="372" t="s">
        <v>59</v>
      </c>
      <c r="C13" s="372" t="s">
        <v>200</v>
      </c>
      <c r="D13" s="372" t="s">
        <v>6</v>
      </c>
      <c r="E13" s="372" t="s">
        <v>326</v>
      </c>
      <c r="F13" s="373"/>
      <c r="G13" s="197">
        <v>3243.9839999999999</v>
      </c>
      <c r="H13" s="197">
        <v>3238.5</v>
      </c>
      <c r="I13" s="197">
        <v>3238.5</v>
      </c>
    </row>
    <row r="14" spans="1:15" ht="47.25">
      <c r="A14" s="372" t="s">
        <v>753</v>
      </c>
      <c r="B14" s="372" t="s">
        <v>59</v>
      </c>
      <c r="C14" s="372" t="s">
        <v>200</v>
      </c>
      <c r="D14" s="372" t="s">
        <v>6</v>
      </c>
      <c r="E14" s="372" t="s">
        <v>330</v>
      </c>
      <c r="F14" s="373"/>
      <c r="G14" s="197">
        <v>3243.9839999999999</v>
      </c>
      <c r="H14" s="197">
        <v>3238.5</v>
      </c>
      <c r="I14" s="197">
        <v>3238.5</v>
      </c>
    </row>
    <row r="15" spans="1:15" ht="47.25">
      <c r="A15" s="372" t="s">
        <v>880</v>
      </c>
      <c r="B15" s="372" t="s">
        <v>59</v>
      </c>
      <c r="C15" s="372" t="s">
        <v>200</v>
      </c>
      <c r="D15" s="372" t="s">
        <v>6</v>
      </c>
      <c r="E15" s="372" t="s">
        <v>874</v>
      </c>
      <c r="F15" s="373"/>
      <c r="G15" s="197">
        <v>732.14800000000002</v>
      </c>
      <c r="H15" s="197">
        <v>732.14800000000002</v>
      </c>
      <c r="I15" s="197">
        <v>732.14800000000002</v>
      </c>
    </row>
    <row r="16" spans="1:15" ht="63">
      <c r="A16" s="372" t="s">
        <v>755</v>
      </c>
      <c r="B16" s="372" t="s">
        <v>59</v>
      </c>
      <c r="C16" s="372" t="s">
        <v>200</v>
      </c>
      <c r="D16" s="372" t="s">
        <v>6</v>
      </c>
      <c r="E16" s="372" t="s">
        <v>874</v>
      </c>
      <c r="F16" s="372" t="s">
        <v>268</v>
      </c>
      <c r="G16" s="197">
        <v>732.14800000000002</v>
      </c>
      <c r="H16" s="197">
        <v>732.14800000000002</v>
      </c>
      <c r="I16" s="197">
        <v>732.14800000000002</v>
      </c>
    </row>
    <row r="17" spans="1:9" ht="94.5">
      <c r="A17" s="372" t="s">
        <v>754</v>
      </c>
      <c r="B17" s="372" t="s">
        <v>59</v>
      </c>
      <c r="C17" s="372" t="s">
        <v>200</v>
      </c>
      <c r="D17" s="372" t="s">
        <v>6</v>
      </c>
      <c r="E17" s="372" t="s">
        <v>331</v>
      </c>
      <c r="F17" s="373"/>
      <c r="G17" s="197">
        <v>2511.8359999999998</v>
      </c>
      <c r="H17" s="197">
        <v>2506.3519999999999</v>
      </c>
      <c r="I17" s="197">
        <v>2506.3519999999999</v>
      </c>
    </row>
    <row r="18" spans="1:9" ht="63">
      <c r="A18" s="372" t="s">
        <v>755</v>
      </c>
      <c r="B18" s="372" t="s">
        <v>59</v>
      </c>
      <c r="C18" s="372" t="s">
        <v>200</v>
      </c>
      <c r="D18" s="372" t="s">
        <v>6</v>
      </c>
      <c r="E18" s="372" t="s">
        <v>331</v>
      </c>
      <c r="F18" s="372" t="s">
        <v>268</v>
      </c>
      <c r="G18" s="197">
        <v>2511.8359999999998</v>
      </c>
      <c r="H18" s="197">
        <v>2506.3519999999999</v>
      </c>
      <c r="I18" s="197">
        <v>2506.3519999999999</v>
      </c>
    </row>
    <row r="19" spans="1:9" ht="31.5">
      <c r="A19" s="372" t="s">
        <v>472</v>
      </c>
      <c r="B19" s="372" t="s">
        <v>59</v>
      </c>
      <c r="C19" s="372" t="s">
        <v>195</v>
      </c>
      <c r="D19" s="373"/>
      <c r="E19" s="373"/>
      <c r="F19" s="373"/>
      <c r="G19" s="197">
        <v>100</v>
      </c>
      <c r="H19" s="197">
        <v>100</v>
      </c>
      <c r="I19" s="197">
        <v>100</v>
      </c>
    </row>
    <row r="20" spans="1:9" ht="31.5">
      <c r="A20" s="372" t="s">
        <v>473</v>
      </c>
      <c r="B20" s="372" t="s">
        <v>59</v>
      </c>
      <c r="C20" s="372" t="s">
        <v>195</v>
      </c>
      <c r="D20" s="372" t="s">
        <v>196</v>
      </c>
      <c r="E20" s="373"/>
      <c r="F20" s="373"/>
      <c r="G20" s="197">
        <v>100</v>
      </c>
      <c r="H20" s="197">
        <v>100</v>
      </c>
      <c r="I20" s="197">
        <v>100</v>
      </c>
    </row>
    <row r="21" spans="1:9" ht="63">
      <c r="A21" s="372" t="s">
        <v>470</v>
      </c>
      <c r="B21" s="372" t="s">
        <v>59</v>
      </c>
      <c r="C21" s="372" t="s">
        <v>195</v>
      </c>
      <c r="D21" s="372" t="s">
        <v>196</v>
      </c>
      <c r="E21" s="372" t="s">
        <v>325</v>
      </c>
      <c r="F21" s="373"/>
      <c r="G21" s="197">
        <v>100</v>
      </c>
      <c r="H21" s="197">
        <v>100</v>
      </c>
      <c r="I21" s="197">
        <v>100</v>
      </c>
    </row>
    <row r="22" spans="1:9" ht="47.25">
      <c r="A22" s="372" t="s">
        <v>474</v>
      </c>
      <c r="B22" s="372" t="s">
        <v>59</v>
      </c>
      <c r="C22" s="372" t="s">
        <v>195</v>
      </c>
      <c r="D22" s="372" t="s">
        <v>196</v>
      </c>
      <c r="E22" s="372" t="s">
        <v>337</v>
      </c>
      <c r="F22" s="373"/>
      <c r="G22" s="197">
        <v>100</v>
      </c>
      <c r="H22" s="197">
        <v>100</v>
      </c>
      <c r="I22" s="197">
        <v>100</v>
      </c>
    </row>
    <row r="23" spans="1:9" ht="110.25">
      <c r="A23" s="372" t="s">
        <v>756</v>
      </c>
      <c r="B23" s="372" t="s">
        <v>59</v>
      </c>
      <c r="C23" s="372" t="s">
        <v>195</v>
      </c>
      <c r="D23" s="372" t="s">
        <v>196</v>
      </c>
      <c r="E23" s="372" t="s">
        <v>338</v>
      </c>
      <c r="F23" s="373"/>
      <c r="G23" s="197">
        <v>100</v>
      </c>
      <c r="H23" s="197">
        <v>100</v>
      </c>
      <c r="I23" s="197">
        <v>100</v>
      </c>
    </row>
    <row r="24" spans="1:9" ht="47.25">
      <c r="A24" s="372" t="s">
        <v>757</v>
      </c>
      <c r="B24" s="372" t="s">
        <v>59</v>
      </c>
      <c r="C24" s="372" t="s">
        <v>195</v>
      </c>
      <c r="D24" s="372" t="s">
        <v>196</v>
      </c>
      <c r="E24" s="372" t="s">
        <v>339</v>
      </c>
      <c r="F24" s="373"/>
      <c r="G24" s="197">
        <v>100</v>
      </c>
      <c r="H24" s="197">
        <v>100</v>
      </c>
      <c r="I24" s="197">
        <v>100</v>
      </c>
    </row>
    <row r="25" spans="1:9" ht="63">
      <c r="A25" s="372" t="s">
        <v>758</v>
      </c>
      <c r="B25" s="372" t="s">
        <v>59</v>
      </c>
      <c r="C25" s="372" t="s">
        <v>195</v>
      </c>
      <c r="D25" s="372" t="s">
        <v>196</v>
      </c>
      <c r="E25" s="372" t="s">
        <v>339</v>
      </c>
      <c r="F25" s="372" t="s">
        <v>266</v>
      </c>
      <c r="G25" s="197">
        <v>50</v>
      </c>
      <c r="H25" s="197">
        <v>50</v>
      </c>
      <c r="I25" s="197">
        <v>50</v>
      </c>
    </row>
    <row r="26" spans="1:9" ht="63">
      <c r="A26" s="372" t="s">
        <v>755</v>
      </c>
      <c r="B26" s="372" t="s">
        <v>59</v>
      </c>
      <c r="C26" s="372" t="s">
        <v>195</v>
      </c>
      <c r="D26" s="372" t="s">
        <v>196</v>
      </c>
      <c r="E26" s="372" t="s">
        <v>339</v>
      </c>
      <c r="F26" s="372" t="s">
        <v>268</v>
      </c>
      <c r="G26" s="197">
        <v>50</v>
      </c>
      <c r="H26" s="197">
        <v>50</v>
      </c>
      <c r="I26" s="197">
        <v>50</v>
      </c>
    </row>
    <row r="27" spans="1:9" ht="31.5">
      <c r="A27" s="372" t="s">
        <v>510</v>
      </c>
      <c r="B27" s="372" t="s">
        <v>59</v>
      </c>
      <c r="C27" s="372" t="s">
        <v>4</v>
      </c>
      <c r="D27" s="373"/>
      <c r="E27" s="373"/>
      <c r="F27" s="373"/>
      <c r="G27" s="197">
        <v>300</v>
      </c>
      <c r="H27" s="197">
        <v>0</v>
      </c>
      <c r="I27" s="197">
        <v>0</v>
      </c>
    </row>
    <row r="28" spans="1:9" ht="15.75">
      <c r="A28" s="372" t="s">
        <v>512</v>
      </c>
      <c r="B28" s="372" t="s">
        <v>59</v>
      </c>
      <c r="C28" s="372" t="s">
        <v>4</v>
      </c>
      <c r="D28" s="372" t="s">
        <v>202</v>
      </c>
      <c r="E28" s="373"/>
      <c r="F28" s="373"/>
      <c r="G28" s="197">
        <v>300</v>
      </c>
      <c r="H28" s="197">
        <v>0</v>
      </c>
      <c r="I28" s="197">
        <v>0</v>
      </c>
    </row>
    <row r="29" spans="1:9" ht="63">
      <c r="A29" s="372" t="s">
        <v>503</v>
      </c>
      <c r="B29" s="372" t="s">
        <v>59</v>
      </c>
      <c r="C29" s="372" t="s">
        <v>4</v>
      </c>
      <c r="D29" s="372" t="s">
        <v>202</v>
      </c>
      <c r="E29" s="372" t="s">
        <v>386</v>
      </c>
      <c r="F29" s="373"/>
      <c r="G29" s="197">
        <v>300</v>
      </c>
      <c r="H29" s="197">
        <v>0</v>
      </c>
      <c r="I29" s="197">
        <v>0</v>
      </c>
    </row>
    <row r="30" spans="1:9" ht="47.25">
      <c r="A30" s="372" t="s">
        <v>504</v>
      </c>
      <c r="B30" s="372" t="s">
        <v>59</v>
      </c>
      <c r="C30" s="372" t="s">
        <v>4</v>
      </c>
      <c r="D30" s="372" t="s">
        <v>202</v>
      </c>
      <c r="E30" s="372" t="s">
        <v>387</v>
      </c>
      <c r="F30" s="373"/>
      <c r="G30" s="197">
        <v>300</v>
      </c>
      <c r="H30" s="197">
        <v>0</v>
      </c>
      <c r="I30" s="197">
        <v>0</v>
      </c>
    </row>
    <row r="31" spans="1:9" ht="47.25">
      <c r="A31" s="372" t="s">
        <v>804</v>
      </c>
      <c r="B31" s="372" t="s">
        <v>59</v>
      </c>
      <c r="C31" s="372" t="s">
        <v>4</v>
      </c>
      <c r="D31" s="372" t="s">
        <v>202</v>
      </c>
      <c r="E31" s="372" t="s">
        <v>388</v>
      </c>
      <c r="F31" s="373"/>
      <c r="G31" s="197">
        <v>300</v>
      </c>
      <c r="H31" s="197">
        <v>0</v>
      </c>
      <c r="I31" s="197">
        <v>0</v>
      </c>
    </row>
    <row r="32" spans="1:9" ht="31.5">
      <c r="A32" s="372" t="s">
        <v>1135</v>
      </c>
      <c r="B32" s="372" t="s">
        <v>59</v>
      </c>
      <c r="C32" s="372" t="s">
        <v>4</v>
      </c>
      <c r="D32" s="372" t="s">
        <v>202</v>
      </c>
      <c r="E32" s="372" t="s">
        <v>1049</v>
      </c>
      <c r="F32" s="373"/>
      <c r="G32" s="197">
        <v>300</v>
      </c>
      <c r="H32" s="197">
        <v>0</v>
      </c>
      <c r="I32" s="197">
        <v>0</v>
      </c>
    </row>
    <row r="33" spans="1:9" ht="63">
      <c r="A33" s="372" t="s">
        <v>755</v>
      </c>
      <c r="B33" s="372" t="s">
        <v>59</v>
      </c>
      <c r="C33" s="372" t="s">
        <v>4</v>
      </c>
      <c r="D33" s="372" t="s">
        <v>202</v>
      </c>
      <c r="E33" s="372" t="s">
        <v>1049</v>
      </c>
      <c r="F33" s="372" t="s">
        <v>268</v>
      </c>
      <c r="G33" s="197">
        <v>300</v>
      </c>
      <c r="H33" s="197">
        <v>0</v>
      </c>
      <c r="I33" s="197">
        <v>0</v>
      </c>
    </row>
    <row r="34" spans="1:9" ht="15.75">
      <c r="A34" s="372" t="s">
        <v>475</v>
      </c>
      <c r="B34" s="372" t="s">
        <v>59</v>
      </c>
      <c r="C34" s="372" t="s">
        <v>197</v>
      </c>
      <c r="D34" s="373"/>
      <c r="E34" s="373"/>
      <c r="F34" s="373"/>
      <c r="G34" s="197">
        <v>45853.977370000001</v>
      </c>
      <c r="H34" s="197">
        <v>32488.413</v>
      </c>
      <c r="I34" s="197">
        <v>32488.413</v>
      </c>
    </row>
    <row r="35" spans="1:9" ht="31.5">
      <c r="A35" s="372" t="s">
        <v>476</v>
      </c>
      <c r="B35" s="372" t="s">
        <v>59</v>
      </c>
      <c r="C35" s="372" t="s">
        <v>197</v>
      </c>
      <c r="D35" s="372" t="s">
        <v>202</v>
      </c>
      <c r="E35" s="373"/>
      <c r="F35" s="373"/>
      <c r="G35" s="197">
        <v>45793.110970000002</v>
      </c>
      <c r="H35" s="197">
        <v>32488.413</v>
      </c>
      <c r="I35" s="197">
        <v>32488.413</v>
      </c>
    </row>
    <row r="36" spans="1:9" ht="63">
      <c r="A36" s="372" t="s">
        <v>477</v>
      </c>
      <c r="B36" s="372" t="s">
        <v>59</v>
      </c>
      <c r="C36" s="372" t="s">
        <v>197</v>
      </c>
      <c r="D36" s="372" t="s">
        <v>202</v>
      </c>
      <c r="E36" s="372" t="s">
        <v>303</v>
      </c>
      <c r="F36" s="373"/>
      <c r="G36" s="197">
        <v>44211.1636</v>
      </c>
      <c r="H36" s="197">
        <v>32488.413</v>
      </c>
      <c r="I36" s="197">
        <v>32488.413</v>
      </c>
    </row>
    <row r="37" spans="1:9" ht="63">
      <c r="A37" s="372" t="s">
        <v>478</v>
      </c>
      <c r="B37" s="372" t="s">
        <v>59</v>
      </c>
      <c r="C37" s="372" t="s">
        <v>197</v>
      </c>
      <c r="D37" s="372" t="s">
        <v>202</v>
      </c>
      <c r="E37" s="372" t="s">
        <v>313</v>
      </c>
      <c r="F37" s="373"/>
      <c r="G37" s="197">
        <v>36245.3966</v>
      </c>
      <c r="H37" s="197">
        <v>32428.413</v>
      </c>
      <c r="I37" s="197">
        <v>32428.413</v>
      </c>
    </row>
    <row r="38" spans="1:9" ht="78.75">
      <c r="A38" s="372" t="s">
        <v>1109</v>
      </c>
      <c r="B38" s="372" t="s">
        <v>59</v>
      </c>
      <c r="C38" s="372" t="s">
        <v>197</v>
      </c>
      <c r="D38" s="372" t="s">
        <v>202</v>
      </c>
      <c r="E38" s="372" t="s">
        <v>314</v>
      </c>
      <c r="F38" s="373"/>
      <c r="G38" s="197">
        <v>29772.580600000001</v>
      </c>
      <c r="H38" s="197">
        <v>32428.413</v>
      </c>
      <c r="I38" s="197">
        <v>32428.413</v>
      </c>
    </row>
    <row r="39" spans="1:9" ht="47.25">
      <c r="A39" s="372" t="s">
        <v>880</v>
      </c>
      <c r="B39" s="372" t="s">
        <v>59</v>
      </c>
      <c r="C39" s="372" t="s">
        <v>197</v>
      </c>
      <c r="D39" s="372" t="s">
        <v>202</v>
      </c>
      <c r="E39" s="372" t="s">
        <v>872</v>
      </c>
      <c r="F39" s="373"/>
      <c r="G39" s="197">
        <v>1726.75</v>
      </c>
      <c r="H39" s="197">
        <v>1757.9860000000001</v>
      </c>
      <c r="I39" s="197">
        <v>1757.9860000000001</v>
      </c>
    </row>
    <row r="40" spans="1:9" ht="63">
      <c r="A40" s="372" t="s">
        <v>755</v>
      </c>
      <c r="B40" s="372" t="s">
        <v>59</v>
      </c>
      <c r="C40" s="372" t="s">
        <v>197</v>
      </c>
      <c r="D40" s="372" t="s">
        <v>202</v>
      </c>
      <c r="E40" s="372" t="s">
        <v>872</v>
      </c>
      <c r="F40" s="372" t="s">
        <v>268</v>
      </c>
      <c r="G40" s="197">
        <v>1726.75</v>
      </c>
      <c r="H40" s="197">
        <v>1757.9860000000001</v>
      </c>
      <c r="I40" s="197">
        <v>1757.9860000000001</v>
      </c>
    </row>
    <row r="41" spans="1:9" ht="78.75">
      <c r="A41" s="372" t="s">
        <v>759</v>
      </c>
      <c r="B41" s="372" t="s">
        <v>59</v>
      </c>
      <c r="C41" s="372" t="s">
        <v>197</v>
      </c>
      <c r="D41" s="372" t="s">
        <v>202</v>
      </c>
      <c r="E41" s="372" t="s">
        <v>953</v>
      </c>
      <c r="F41" s="373"/>
      <c r="G41" s="197">
        <v>28045.830600000001</v>
      </c>
      <c r="H41" s="197">
        <v>30670.427</v>
      </c>
      <c r="I41" s="197">
        <v>30670.427</v>
      </c>
    </row>
    <row r="42" spans="1:9" ht="63">
      <c r="A42" s="372" t="s">
        <v>755</v>
      </c>
      <c r="B42" s="372" t="s">
        <v>59</v>
      </c>
      <c r="C42" s="372" t="s">
        <v>197</v>
      </c>
      <c r="D42" s="372" t="s">
        <v>202</v>
      </c>
      <c r="E42" s="372" t="s">
        <v>953</v>
      </c>
      <c r="F42" s="372" t="s">
        <v>268</v>
      </c>
      <c r="G42" s="197">
        <v>28045.830600000001</v>
      </c>
      <c r="H42" s="197">
        <v>30670.427</v>
      </c>
      <c r="I42" s="197">
        <v>30670.427</v>
      </c>
    </row>
    <row r="43" spans="1:9" ht="94.5">
      <c r="A43" s="372" t="s">
        <v>1453</v>
      </c>
      <c r="B43" s="372" t="s">
        <v>59</v>
      </c>
      <c r="C43" s="372" t="s">
        <v>197</v>
      </c>
      <c r="D43" s="372" t="s">
        <v>202</v>
      </c>
      <c r="E43" s="372" t="s">
        <v>316</v>
      </c>
      <c r="F43" s="373"/>
      <c r="G43" s="197">
        <v>6472.8159999999998</v>
      </c>
      <c r="H43" s="197">
        <v>0</v>
      </c>
      <c r="I43" s="197">
        <v>0</v>
      </c>
    </row>
    <row r="44" spans="1:9" ht="141.75">
      <c r="A44" s="372" t="s">
        <v>760</v>
      </c>
      <c r="B44" s="372" t="s">
        <v>59</v>
      </c>
      <c r="C44" s="372" t="s">
        <v>197</v>
      </c>
      <c r="D44" s="372" t="s">
        <v>202</v>
      </c>
      <c r="E44" s="372" t="s">
        <v>957</v>
      </c>
      <c r="F44" s="373"/>
      <c r="G44" s="197">
        <v>6472.8159999999998</v>
      </c>
      <c r="H44" s="197">
        <v>0</v>
      </c>
      <c r="I44" s="197">
        <v>0</v>
      </c>
    </row>
    <row r="45" spans="1:9" ht="63">
      <c r="A45" s="372" t="s">
        <v>755</v>
      </c>
      <c r="B45" s="372" t="s">
        <v>59</v>
      </c>
      <c r="C45" s="372" t="s">
        <v>197</v>
      </c>
      <c r="D45" s="372" t="s">
        <v>202</v>
      </c>
      <c r="E45" s="372" t="s">
        <v>957</v>
      </c>
      <c r="F45" s="372" t="s">
        <v>268</v>
      </c>
      <c r="G45" s="197">
        <v>6472.8159999999998</v>
      </c>
      <c r="H45" s="197">
        <v>0</v>
      </c>
      <c r="I45" s="197">
        <v>0</v>
      </c>
    </row>
    <row r="46" spans="1:9" ht="63">
      <c r="A46" s="372" t="s">
        <v>1110</v>
      </c>
      <c r="B46" s="372" t="s">
        <v>59</v>
      </c>
      <c r="C46" s="372" t="s">
        <v>197</v>
      </c>
      <c r="D46" s="372" t="s">
        <v>202</v>
      </c>
      <c r="E46" s="372" t="s">
        <v>321</v>
      </c>
      <c r="F46" s="373"/>
      <c r="G46" s="197">
        <v>7965.7669999999998</v>
      </c>
      <c r="H46" s="197">
        <v>60</v>
      </c>
      <c r="I46" s="197">
        <v>60</v>
      </c>
    </row>
    <row r="47" spans="1:9" ht="47.25">
      <c r="A47" s="372" t="s">
        <v>1454</v>
      </c>
      <c r="B47" s="372" t="s">
        <v>59</v>
      </c>
      <c r="C47" s="372" t="s">
        <v>197</v>
      </c>
      <c r="D47" s="372" t="s">
        <v>202</v>
      </c>
      <c r="E47" s="372" t="s">
        <v>322</v>
      </c>
      <c r="F47" s="373"/>
      <c r="G47" s="197">
        <v>456.053</v>
      </c>
      <c r="H47" s="197">
        <v>0</v>
      </c>
      <c r="I47" s="197">
        <v>0</v>
      </c>
    </row>
    <row r="48" spans="1:9" ht="63">
      <c r="A48" s="372" t="s">
        <v>1185</v>
      </c>
      <c r="B48" s="372" t="s">
        <v>59</v>
      </c>
      <c r="C48" s="372" t="s">
        <v>197</v>
      </c>
      <c r="D48" s="372" t="s">
        <v>202</v>
      </c>
      <c r="E48" s="372" t="s">
        <v>1261</v>
      </c>
      <c r="F48" s="373"/>
      <c r="G48" s="197">
        <v>456.053</v>
      </c>
      <c r="H48" s="197">
        <v>0</v>
      </c>
      <c r="I48" s="197">
        <v>0</v>
      </c>
    </row>
    <row r="49" spans="1:9" ht="63">
      <c r="A49" s="372" t="s">
        <v>755</v>
      </c>
      <c r="B49" s="372" t="s">
        <v>59</v>
      </c>
      <c r="C49" s="372" t="s">
        <v>197</v>
      </c>
      <c r="D49" s="372" t="s">
        <v>202</v>
      </c>
      <c r="E49" s="372" t="s">
        <v>1261</v>
      </c>
      <c r="F49" s="372" t="s">
        <v>268</v>
      </c>
      <c r="G49" s="197">
        <v>456.053</v>
      </c>
      <c r="H49" s="197">
        <v>0</v>
      </c>
      <c r="I49" s="197">
        <v>0</v>
      </c>
    </row>
    <row r="50" spans="1:9" ht="63">
      <c r="A50" s="372" t="s">
        <v>1455</v>
      </c>
      <c r="B50" s="372" t="s">
        <v>59</v>
      </c>
      <c r="C50" s="372" t="s">
        <v>197</v>
      </c>
      <c r="D50" s="372" t="s">
        <v>202</v>
      </c>
      <c r="E50" s="372" t="s">
        <v>324</v>
      </c>
      <c r="F50" s="373"/>
      <c r="G50" s="197">
        <v>60</v>
      </c>
      <c r="H50" s="197">
        <v>60</v>
      </c>
      <c r="I50" s="197">
        <v>60</v>
      </c>
    </row>
    <row r="51" spans="1:9" ht="31.5">
      <c r="A51" s="372" t="s">
        <v>761</v>
      </c>
      <c r="B51" s="372" t="s">
        <v>59</v>
      </c>
      <c r="C51" s="372" t="s">
        <v>197</v>
      </c>
      <c r="D51" s="372" t="s">
        <v>202</v>
      </c>
      <c r="E51" s="372" t="s">
        <v>973</v>
      </c>
      <c r="F51" s="373"/>
      <c r="G51" s="197">
        <v>60</v>
      </c>
      <c r="H51" s="197">
        <v>60</v>
      </c>
      <c r="I51" s="197">
        <v>60</v>
      </c>
    </row>
    <row r="52" spans="1:9" ht="63">
      <c r="A52" s="372" t="s">
        <v>755</v>
      </c>
      <c r="B52" s="372" t="s">
        <v>59</v>
      </c>
      <c r="C52" s="372" t="s">
        <v>197</v>
      </c>
      <c r="D52" s="372" t="s">
        <v>202</v>
      </c>
      <c r="E52" s="372" t="s">
        <v>973</v>
      </c>
      <c r="F52" s="372" t="s">
        <v>268</v>
      </c>
      <c r="G52" s="197">
        <v>60</v>
      </c>
      <c r="H52" s="197">
        <v>60</v>
      </c>
      <c r="I52" s="197">
        <v>60</v>
      </c>
    </row>
    <row r="53" spans="1:9" ht="31.5">
      <c r="A53" s="372" t="s">
        <v>1456</v>
      </c>
      <c r="B53" s="372" t="s">
        <v>59</v>
      </c>
      <c r="C53" s="372" t="s">
        <v>197</v>
      </c>
      <c r="D53" s="372" t="s">
        <v>202</v>
      </c>
      <c r="E53" s="372" t="s">
        <v>1404</v>
      </c>
      <c r="F53" s="373"/>
      <c r="G53" s="197">
        <v>7449.7139999999999</v>
      </c>
      <c r="H53" s="197">
        <v>0</v>
      </c>
      <c r="I53" s="197">
        <v>0</v>
      </c>
    </row>
    <row r="54" spans="1:9" ht="94.5">
      <c r="A54" s="372" t="s">
        <v>1412</v>
      </c>
      <c r="B54" s="372" t="s">
        <v>59</v>
      </c>
      <c r="C54" s="372" t="s">
        <v>197</v>
      </c>
      <c r="D54" s="372" t="s">
        <v>202</v>
      </c>
      <c r="E54" s="372" t="s">
        <v>1406</v>
      </c>
      <c r="F54" s="373"/>
      <c r="G54" s="197">
        <v>7449.7139999999999</v>
      </c>
      <c r="H54" s="197">
        <v>0</v>
      </c>
      <c r="I54" s="197">
        <v>0</v>
      </c>
    </row>
    <row r="55" spans="1:9" ht="63">
      <c r="A55" s="372" t="s">
        <v>755</v>
      </c>
      <c r="B55" s="372" t="s">
        <v>59</v>
      </c>
      <c r="C55" s="372" t="s">
        <v>197</v>
      </c>
      <c r="D55" s="372" t="s">
        <v>202</v>
      </c>
      <c r="E55" s="372" t="s">
        <v>1406</v>
      </c>
      <c r="F55" s="372" t="s">
        <v>268</v>
      </c>
      <c r="G55" s="197">
        <v>7449.7139999999999</v>
      </c>
      <c r="H55" s="197">
        <v>0</v>
      </c>
      <c r="I55" s="197">
        <v>0</v>
      </c>
    </row>
    <row r="56" spans="1:9" ht="47.25">
      <c r="A56" s="372" t="s">
        <v>1273</v>
      </c>
      <c r="B56" s="372" t="s">
        <v>59</v>
      </c>
      <c r="C56" s="372" t="s">
        <v>197</v>
      </c>
      <c r="D56" s="372" t="s">
        <v>202</v>
      </c>
      <c r="E56" s="372" t="s">
        <v>1266</v>
      </c>
      <c r="F56" s="373"/>
      <c r="G56" s="197">
        <v>1578.9473700000001</v>
      </c>
      <c r="H56" s="197">
        <v>0</v>
      </c>
      <c r="I56" s="197">
        <v>0</v>
      </c>
    </row>
    <row r="57" spans="1:9" ht="31.5">
      <c r="A57" s="372" t="s">
        <v>509</v>
      </c>
      <c r="B57" s="372" t="s">
        <v>59</v>
      </c>
      <c r="C57" s="372" t="s">
        <v>197</v>
      </c>
      <c r="D57" s="372" t="s">
        <v>202</v>
      </c>
      <c r="E57" s="372" t="s">
        <v>1267</v>
      </c>
      <c r="F57" s="373"/>
      <c r="G57" s="197">
        <v>1578.9473700000001</v>
      </c>
      <c r="H57" s="197">
        <v>0</v>
      </c>
      <c r="I57" s="197">
        <v>0</v>
      </c>
    </row>
    <row r="58" spans="1:9" ht="31.5">
      <c r="A58" s="372" t="s">
        <v>1441</v>
      </c>
      <c r="B58" s="372" t="s">
        <v>59</v>
      </c>
      <c r="C58" s="372" t="s">
        <v>197</v>
      </c>
      <c r="D58" s="372" t="s">
        <v>202</v>
      </c>
      <c r="E58" s="372" t="s">
        <v>1267</v>
      </c>
      <c r="F58" s="373"/>
      <c r="G58" s="197">
        <v>1578.9473700000001</v>
      </c>
      <c r="H58" s="197">
        <v>0</v>
      </c>
      <c r="I58" s="197">
        <v>0</v>
      </c>
    </row>
    <row r="59" spans="1:9" ht="47.25">
      <c r="A59" s="372" t="s">
        <v>1274</v>
      </c>
      <c r="B59" s="372" t="s">
        <v>59</v>
      </c>
      <c r="C59" s="372" t="s">
        <v>197</v>
      </c>
      <c r="D59" s="372" t="s">
        <v>202</v>
      </c>
      <c r="E59" s="372" t="s">
        <v>1269</v>
      </c>
      <c r="F59" s="373"/>
      <c r="G59" s="197">
        <v>1578.9473700000001</v>
      </c>
      <c r="H59" s="197">
        <v>0</v>
      </c>
      <c r="I59" s="197">
        <v>0</v>
      </c>
    </row>
    <row r="60" spans="1:9" ht="63">
      <c r="A60" s="372" t="s">
        <v>755</v>
      </c>
      <c r="B60" s="372" t="s">
        <v>59</v>
      </c>
      <c r="C60" s="372" t="s">
        <v>197</v>
      </c>
      <c r="D60" s="372" t="s">
        <v>202</v>
      </c>
      <c r="E60" s="372" t="s">
        <v>1269</v>
      </c>
      <c r="F60" s="372" t="s">
        <v>268</v>
      </c>
      <c r="G60" s="197">
        <v>1578.9473700000001</v>
      </c>
      <c r="H60" s="197">
        <v>0</v>
      </c>
      <c r="I60" s="197">
        <v>0</v>
      </c>
    </row>
    <row r="61" spans="1:9" ht="63">
      <c r="A61" s="372" t="s">
        <v>524</v>
      </c>
      <c r="B61" s="372" t="s">
        <v>59</v>
      </c>
      <c r="C61" s="372" t="s">
        <v>197</v>
      </c>
      <c r="D61" s="372" t="s">
        <v>202</v>
      </c>
      <c r="E61" s="372" t="s">
        <v>444</v>
      </c>
      <c r="F61" s="373"/>
      <c r="G61" s="197">
        <v>3</v>
      </c>
      <c r="H61" s="197">
        <v>0</v>
      </c>
      <c r="I61" s="197">
        <v>0</v>
      </c>
    </row>
    <row r="62" spans="1:9" ht="31.5">
      <c r="A62" s="372" t="s">
        <v>509</v>
      </c>
      <c r="B62" s="372" t="s">
        <v>59</v>
      </c>
      <c r="C62" s="372" t="s">
        <v>197</v>
      </c>
      <c r="D62" s="372" t="s">
        <v>202</v>
      </c>
      <c r="E62" s="372" t="s">
        <v>445</v>
      </c>
      <c r="F62" s="373"/>
      <c r="G62" s="197">
        <v>3</v>
      </c>
      <c r="H62" s="197">
        <v>0</v>
      </c>
      <c r="I62" s="197">
        <v>0</v>
      </c>
    </row>
    <row r="63" spans="1:9" ht="31.5">
      <c r="A63" s="372" t="s">
        <v>1441</v>
      </c>
      <c r="B63" s="372" t="s">
        <v>59</v>
      </c>
      <c r="C63" s="372" t="s">
        <v>197</v>
      </c>
      <c r="D63" s="372" t="s">
        <v>202</v>
      </c>
      <c r="E63" s="372" t="s">
        <v>445</v>
      </c>
      <c r="F63" s="373"/>
      <c r="G63" s="197">
        <v>3</v>
      </c>
      <c r="H63" s="197">
        <v>0</v>
      </c>
      <c r="I63" s="197">
        <v>0</v>
      </c>
    </row>
    <row r="64" spans="1:9" ht="47.25">
      <c r="A64" s="372" t="s">
        <v>1272</v>
      </c>
      <c r="B64" s="372" t="s">
        <v>59</v>
      </c>
      <c r="C64" s="372" t="s">
        <v>197</v>
      </c>
      <c r="D64" s="372" t="s">
        <v>202</v>
      </c>
      <c r="E64" s="372" t="s">
        <v>1271</v>
      </c>
      <c r="F64" s="373"/>
      <c r="G64" s="197">
        <v>3</v>
      </c>
      <c r="H64" s="197">
        <v>0</v>
      </c>
      <c r="I64" s="197">
        <v>0</v>
      </c>
    </row>
    <row r="65" spans="1:9" ht="63">
      <c r="A65" s="372" t="s">
        <v>755</v>
      </c>
      <c r="B65" s="372" t="s">
        <v>59</v>
      </c>
      <c r="C65" s="372" t="s">
        <v>197</v>
      </c>
      <c r="D65" s="372" t="s">
        <v>202</v>
      </c>
      <c r="E65" s="372" t="s">
        <v>1271</v>
      </c>
      <c r="F65" s="372" t="s">
        <v>268</v>
      </c>
      <c r="G65" s="197">
        <v>3</v>
      </c>
      <c r="H65" s="197">
        <v>0</v>
      </c>
      <c r="I65" s="197">
        <v>0</v>
      </c>
    </row>
    <row r="66" spans="1:9" ht="15.75">
      <c r="A66" s="372" t="s">
        <v>491</v>
      </c>
      <c r="B66" s="372" t="s">
        <v>59</v>
      </c>
      <c r="C66" s="372" t="s">
        <v>197</v>
      </c>
      <c r="D66" s="372" t="s">
        <v>197</v>
      </c>
      <c r="E66" s="373"/>
      <c r="F66" s="373"/>
      <c r="G66" s="197">
        <v>60.866399999999999</v>
      </c>
      <c r="H66" s="197">
        <v>0</v>
      </c>
      <c r="I66" s="197">
        <v>0</v>
      </c>
    </row>
    <row r="67" spans="1:9" ht="78.75">
      <c r="A67" s="372" t="s">
        <v>1119</v>
      </c>
      <c r="B67" s="372" t="s">
        <v>59</v>
      </c>
      <c r="C67" s="372" t="s">
        <v>197</v>
      </c>
      <c r="D67" s="372" t="s">
        <v>197</v>
      </c>
      <c r="E67" s="372" t="s">
        <v>345</v>
      </c>
      <c r="F67" s="373"/>
      <c r="G67" s="197">
        <v>60.866399999999999</v>
      </c>
      <c r="H67" s="197">
        <v>0</v>
      </c>
      <c r="I67" s="197">
        <v>0</v>
      </c>
    </row>
    <row r="68" spans="1:9" ht="31.5">
      <c r="A68" s="372" t="s">
        <v>479</v>
      </c>
      <c r="B68" s="372" t="s">
        <v>59</v>
      </c>
      <c r="C68" s="372" t="s">
        <v>197</v>
      </c>
      <c r="D68" s="372" t="s">
        <v>197</v>
      </c>
      <c r="E68" s="372" t="s">
        <v>348</v>
      </c>
      <c r="F68" s="373"/>
      <c r="G68" s="197">
        <v>60.866399999999999</v>
      </c>
      <c r="H68" s="197">
        <v>0</v>
      </c>
      <c r="I68" s="197">
        <v>0</v>
      </c>
    </row>
    <row r="69" spans="1:9" ht="31.5">
      <c r="A69" s="372" t="s">
        <v>762</v>
      </c>
      <c r="B69" s="372" t="s">
        <v>59</v>
      </c>
      <c r="C69" s="372" t="s">
        <v>197</v>
      </c>
      <c r="D69" s="372" t="s">
        <v>197</v>
      </c>
      <c r="E69" s="372" t="s">
        <v>1007</v>
      </c>
      <c r="F69" s="373"/>
      <c r="G69" s="197">
        <v>60.866399999999999</v>
      </c>
      <c r="H69" s="197">
        <v>0</v>
      </c>
      <c r="I69" s="197">
        <v>0</v>
      </c>
    </row>
    <row r="70" spans="1:9" ht="63">
      <c r="A70" s="372" t="s">
        <v>919</v>
      </c>
      <c r="B70" s="372" t="s">
        <v>59</v>
      </c>
      <c r="C70" s="372" t="s">
        <v>197</v>
      </c>
      <c r="D70" s="372" t="s">
        <v>197</v>
      </c>
      <c r="E70" s="372" t="s">
        <v>1013</v>
      </c>
      <c r="F70" s="373"/>
      <c r="G70" s="197">
        <v>60.866399999999999</v>
      </c>
      <c r="H70" s="197">
        <v>0</v>
      </c>
      <c r="I70" s="197">
        <v>0</v>
      </c>
    </row>
    <row r="71" spans="1:9" ht="63">
      <c r="A71" s="372" t="s">
        <v>755</v>
      </c>
      <c r="B71" s="372" t="s">
        <v>59</v>
      </c>
      <c r="C71" s="372" t="s">
        <v>197</v>
      </c>
      <c r="D71" s="372" t="s">
        <v>197</v>
      </c>
      <c r="E71" s="372" t="s">
        <v>1013</v>
      </c>
      <c r="F71" s="372" t="s">
        <v>268</v>
      </c>
      <c r="G71" s="197">
        <v>60.866399999999999</v>
      </c>
      <c r="H71" s="197">
        <v>0</v>
      </c>
      <c r="I71" s="197">
        <v>0</v>
      </c>
    </row>
    <row r="72" spans="1:9" ht="31.5">
      <c r="A72" s="372" t="s">
        <v>480</v>
      </c>
      <c r="B72" s="372" t="s">
        <v>59</v>
      </c>
      <c r="C72" s="372" t="s">
        <v>199</v>
      </c>
      <c r="D72" s="373"/>
      <c r="E72" s="373"/>
      <c r="F72" s="373"/>
      <c r="G72" s="197">
        <v>59073.08625</v>
      </c>
      <c r="H72" s="197">
        <v>40776.561000000002</v>
      </c>
      <c r="I72" s="197">
        <v>35776.561000000002</v>
      </c>
    </row>
    <row r="73" spans="1:9" ht="15.75">
      <c r="A73" s="372" t="s">
        <v>481</v>
      </c>
      <c r="B73" s="372" t="s">
        <v>59</v>
      </c>
      <c r="C73" s="372" t="s">
        <v>199</v>
      </c>
      <c r="D73" s="372" t="s">
        <v>200</v>
      </c>
      <c r="E73" s="373"/>
      <c r="F73" s="373"/>
      <c r="G73" s="197">
        <v>55591.910250000001</v>
      </c>
      <c r="H73" s="197">
        <v>37295.385000000002</v>
      </c>
      <c r="I73" s="197">
        <v>32295.384999999998</v>
      </c>
    </row>
    <row r="74" spans="1:9" ht="63">
      <c r="A74" s="372" t="s">
        <v>470</v>
      </c>
      <c r="B74" s="372" t="s">
        <v>59</v>
      </c>
      <c r="C74" s="372" t="s">
        <v>199</v>
      </c>
      <c r="D74" s="372" t="s">
        <v>200</v>
      </c>
      <c r="E74" s="372" t="s">
        <v>325</v>
      </c>
      <c r="F74" s="373"/>
      <c r="G74" s="197">
        <v>53726.226040000001</v>
      </c>
      <c r="H74" s="197">
        <v>37295.385000000002</v>
      </c>
      <c r="I74" s="197">
        <v>32295.384999999998</v>
      </c>
    </row>
    <row r="75" spans="1:9" ht="15.75">
      <c r="A75" s="372" t="s">
        <v>471</v>
      </c>
      <c r="B75" s="372" t="s">
        <v>59</v>
      </c>
      <c r="C75" s="372" t="s">
        <v>199</v>
      </c>
      <c r="D75" s="372" t="s">
        <v>200</v>
      </c>
      <c r="E75" s="372" t="s">
        <v>326</v>
      </c>
      <c r="F75" s="373"/>
      <c r="G75" s="197">
        <v>23847.542000000001</v>
      </c>
      <c r="H75" s="197">
        <v>17282.785</v>
      </c>
      <c r="I75" s="197">
        <v>17282.785</v>
      </c>
    </row>
    <row r="76" spans="1:9" ht="47.25">
      <c r="A76" s="372" t="s">
        <v>763</v>
      </c>
      <c r="B76" s="372" t="s">
        <v>59</v>
      </c>
      <c r="C76" s="372" t="s">
        <v>199</v>
      </c>
      <c r="D76" s="372" t="s">
        <v>200</v>
      </c>
      <c r="E76" s="372" t="s">
        <v>327</v>
      </c>
      <c r="F76" s="373"/>
      <c r="G76" s="197">
        <v>23791.542000000001</v>
      </c>
      <c r="H76" s="197">
        <v>17226.785</v>
      </c>
      <c r="I76" s="197">
        <v>17226.785</v>
      </c>
    </row>
    <row r="77" spans="1:9" ht="47.25">
      <c r="A77" s="372" t="s">
        <v>880</v>
      </c>
      <c r="B77" s="372" t="s">
        <v>59</v>
      </c>
      <c r="C77" s="372" t="s">
        <v>199</v>
      </c>
      <c r="D77" s="372" t="s">
        <v>200</v>
      </c>
      <c r="E77" s="372" t="s">
        <v>873</v>
      </c>
      <c r="F77" s="373"/>
      <c r="G77" s="197">
        <v>2077.2316000000001</v>
      </c>
      <c r="H77" s="197">
        <v>2033.5840000000001</v>
      </c>
      <c r="I77" s="197">
        <v>2033.5840000000001</v>
      </c>
    </row>
    <row r="78" spans="1:9" ht="63">
      <c r="A78" s="372" t="s">
        <v>755</v>
      </c>
      <c r="B78" s="372" t="s">
        <v>59</v>
      </c>
      <c r="C78" s="372" t="s">
        <v>199</v>
      </c>
      <c r="D78" s="372" t="s">
        <v>200</v>
      </c>
      <c r="E78" s="372" t="s">
        <v>873</v>
      </c>
      <c r="F78" s="372" t="s">
        <v>268</v>
      </c>
      <c r="G78" s="197">
        <v>2077.2316000000001</v>
      </c>
      <c r="H78" s="197">
        <v>2033.5840000000001</v>
      </c>
      <c r="I78" s="197">
        <v>2033.5840000000001</v>
      </c>
    </row>
    <row r="79" spans="1:9" ht="78.75">
      <c r="A79" s="372" t="s">
        <v>764</v>
      </c>
      <c r="B79" s="372" t="s">
        <v>59</v>
      </c>
      <c r="C79" s="372" t="s">
        <v>199</v>
      </c>
      <c r="D79" s="372" t="s">
        <v>200</v>
      </c>
      <c r="E79" s="372" t="s">
        <v>328</v>
      </c>
      <c r="F79" s="373"/>
      <c r="G79" s="197">
        <v>14239.179400000001</v>
      </c>
      <c r="H79" s="197">
        <v>14609.601000000001</v>
      </c>
      <c r="I79" s="197">
        <v>14609.601000000001</v>
      </c>
    </row>
    <row r="80" spans="1:9" ht="63">
      <c r="A80" s="372" t="s">
        <v>755</v>
      </c>
      <c r="B80" s="372" t="s">
        <v>59</v>
      </c>
      <c r="C80" s="372" t="s">
        <v>199</v>
      </c>
      <c r="D80" s="372" t="s">
        <v>200</v>
      </c>
      <c r="E80" s="372" t="s">
        <v>328</v>
      </c>
      <c r="F80" s="372" t="s">
        <v>268</v>
      </c>
      <c r="G80" s="197">
        <v>14239.179400000001</v>
      </c>
      <c r="H80" s="197">
        <v>14609.601000000001</v>
      </c>
      <c r="I80" s="197">
        <v>14609.601000000001</v>
      </c>
    </row>
    <row r="81" spans="1:9" ht="63">
      <c r="A81" s="372" t="s">
        <v>765</v>
      </c>
      <c r="B81" s="372" t="s">
        <v>59</v>
      </c>
      <c r="C81" s="372" t="s">
        <v>199</v>
      </c>
      <c r="D81" s="372" t="s">
        <v>200</v>
      </c>
      <c r="E81" s="372" t="s">
        <v>329</v>
      </c>
      <c r="F81" s="373"/>
      <c r="G81" s="197">
        <v>583.6</v>
      </c>
      <c r="H81" s="197">
        <v>583.6</v>
      </c>
      <c r="I81" s="197">
        <v>583.6</v>
      </c>
    </row>
    <row r="82" spans="1:9" ht="63">
      <c r="A82" s="372" t="s">
        <v>755</v>
      </c>
      <c r="B82" s="372" t="s">
        <v>59</v>
      </c>
      <c r="C82" s="372" t="s">
        <v>199</v>
      </c>
      <c r="D82" s="372" t="s">
        <v>200</v>
      </c>
      <c r="E82" s="372" t="s">
        <v>329</v>
      </c>
      <c r="F82" s="372" t="s">
        <v>268</v>
      </c>
      <c r="G82" s="197">
        <v>583.6</v>
      </c>
      <c r="H82" s="197">
        <v>583.6</v>
      </c>
      <c r="I82" s="197">
        <v>583.6</v>
      </c>
    </row>
    <row r="83" spans="1:9" ht="47.25">
      <c r="A83" s="372" t="s">
        <v>1231</v>
      </c>
      <c r="B83" s="372" t="s">
        <v>59</v>
      </c>
      <c r="C83" s="372" t="s">
        <v>199</v>
      </c>
      <c r="D83" s="372" t="s">
        <v>200</v>
      </c>
      <c r="E83" s="372" t="s">
        <v>1213</v>
      </c>
      <c r="F83" s="373"/>
      <c r="G83" s="197">
        <v>27.978999999999999</v>
      </c>
      <c r="H83" s="197">
        <v>0</v>
      </c>
      <c r="I83" s="197">
        <v>0</v>
      </c>
    </row>
    <row r="84" spans="1:9" ht="63">
      <c r="A84" s="372" t="s">
        <v>755</v>
      </c>
      <c r="B84" s="372" t="s">
        <v>59</v>
      </c>
      <c r="C84" s="372" t="s">
        <v>199</v>
      </c>
      <c r="D84" s="372" t="s">
        <v>200</v>
      </c>
      <c r="E84" s="372" t="s">
        <v>1213</v>
      </c>
      <c r="F84" s="372" t="s">
        <v>268</v>
      </c>
      <c r="G84" s="197">
        <v>27.978999999999999</v>
      </c>
      <c r="H84" s="197">
        <v>0</v>
      </c>
      <c r="I84" s="197">
        <v>0</v>
      </c>
    </row>
    <row r="85" spans="1:9" ht="94.5">
      <c r="A85" s="372" t="s">
        <v>1111</v>
      </c>
      <c r="B85" s="372" t="s">
        <v>59</v>
      </c>
      <c r="C85" s="372" t="s">
        <v>199</v>
      </c>
      <c r="D85" s="372" t="s">
        <v>200</v>
      </c>
      <c r="E85" s="372" t="s">
        <v>976</v>
      </c>
      <c r="F85" s="373"/>
      <c r="G85" s="197">
        <v>6863.5519999999997</v>
      </c>
      <c r="H85" s="197">
        <v>0</v>
      </c>
      <c r="I85" s="197">
        <v>0</v>
      </c>
    </row>
    <row r="86" spans="1:9" ht="63">
      <c r="A86" s="372" t="s">
        <v>755</v>
      </c>
      <c r="B86" s="372" t="s">
        <v>59</v>
      </c>
      <c r="C86" s="372" t="s">
        <v>199</v>
      </c>
      <c r="D86" s="372" t="s">
        <v>200</v>
      </c>
      <c r="E86" s="372" t="s">
        <v>976</v>
      </c>
      <c r="F86" s="372" t="s">
        <v>268</v>
      </c>
      <c r="G86" s="197">
        <v>6863.5519999999997</v>
      </c>
      <c r="H86" s="197">
        <v>0</v>
      </c>
      <c r="I86" s="197">
        <v>0</v>
      </c>
    </row>
    <row r="87" spans="1:9" ht="78.75">
      <c r="A87" s="372" t="s">
        <v>1457</v>
      </c>
      <c r="B87" s="372" t="s">
        <v>59</v>
      </c>
      <c r="C87" s="372" t="s">
        <v>199</v>
      </c>
      <c r="D87" s="372" t="s">
        <v>200</v>
      </c>
      <c r="E87" s="372" t="s">
        <v>332</v>
      </c>
      <c r="F87" s="373"/>
      <c r="G87" s="197">
        <v>56</v>
      </c>
      <c r="H87" s="197">
        <v>56</v>
      </c>
      <c r="I87" s="197">
        <v>56</v>
      </c>
    </row>
    <row r="88" spans="1:9" ht="173.25">
      <c r="A88" s="372" t="s">
        <v>766</v>
      </c>
      <c r="B88" s="372" t="s">
        <v>59</v>
      </c>
      <c r="C88" s="372" t="s">
        <v>199</v>
      </c>
      <c r="D88" s="372" t="s">
        <v>200</v>
      </c>
      <c r="E88" s="372" t="s">
        <v>333</v>
      </c>
      <c r="F88" s="373"/>
      <c r="G88" s="197">
        <v>56</v>
      </c>
      <c r="H88" s="197">
        <v>56</v>
      </c>
      <c r="I88" s="197">
        <v>56</v>
      </c>
    </row>
    <row r="89" spans="1:9" ht="63">
      <c r="A89" s="372" t="s">
        <v>758</v>
      </c>
      <c r="B89" s="372" t="s">
        <v>59</v>
      </c>
      <c r="C89" s="372" t="s">
        <v>199</v>
      </c>
      <c r="D89" s="372" t="s">
        <v>200</v>
      </c>
      <c r="E89" s="372" t="s">
        <v>333</v>
      </c>
      <c r="F89" s="372" t="s">
        <v>266</v>
      </c>
      <c r="G89" s="197">
        <v>56</v>
      </c>
      <c r="H89" s="197">
        <v>56</v>
      </c>
      <c r="I89" s="197">
        <v>56</v>
      </c>
    </row>
    <row r="90" spans="1:9" ht="31.5">
      <c r="A90" s="372" t="s">
        <v>482</v>
      </c>
      <c r="B90" s="372" t="s">
        <v>59</v>
      </c>
      <c r="C90" s="372" t="s">
        <v>199</v>
      </c>
      <c r="D90" s="372" t="s">
        <v>200</v>
      </c>
      <c r="E90" s="372" t="s">
        <v>334</v>
      </c>
      <c r="F90" s="373"/>
      <c r="G90" s="197">
        <v>29878.68404</v>
      </c>
      <c r="H90" s="197">
        <v>20012.599999999999</v>
      </c>
      <c r="I90" s="197">
        <v>15012.6</v>
      </c>
    </row>
    <row r="91" spans="1:9" ht="63">
      <c r="A91" s="372" t="s">
        <v>767</v>
      </c>
      <c r="B91" s="372" t="s">
        <v>59</v>
      </c>
      <c r="C91" s="372" t="s">
        <v>199</v>
      </c>
      <c r="D91" s="372" t="s">
        <v>200</v>
      </c>
      <c r="E91" s="372" t="s">
        <v>335</v>
      </c>
      <c r="F91" s="373"/>
      <c r="G91" s="197">
        <v>29878.68404</v>
      </c>
      <c r="H91" s="197">
        <v>20012.599999999999</v>
      </c>
      <c r="I91" s="197">
        <v>15012.6</v>
      </c>
    </row>
    <row r="92" spans="1:9" ht="47.25">
      <c r="A92" s="372" t="s">
        <v>880</v>
      </c>
      <c r="B92" s="372" t="s">
        <v>59</v>
      </c>
      <c r="C92" s="372" t="s">
        <v>199</v>
      </c>
      <c r="D92" s="372" t="s">
        <v>200</v>
      </c>
      <c r="E92" s="372" t="s">
        <v>875</v>
      </c>
      <c r="F92" s="373"/>
      <c r="G92" s="197">
        <v>2247.9209999999998</v>
      </c>
      <c r="H92" s="197">
        <v>2247.9209999999998</v>
      </c>
      <c r="I92" s="197">
        <v>247.92099999999999</v>
      </c>
    </row>
    <row r="93" spans="1:9" ht="63">
      <c r="A93" s="372" t="s">
        <v>755</v>
      </c>
      <c r="B93" s="372" t="s">
        <v>59</v>
      </c>
      <c r="C93" s="372" t="s">
        <v>199</v>
      </c>
      <c r="D93" s="372" t="s">
        <v>200</v>
      </c>
      <c r="E93" s="372" t="s">
        <v>875</v>
      </c>
      <c r="F93" s="372" t="s">
        <v>268</v>
      </c>
      <c r="G93" s="197">
        <v>2247.9209999999998</v>
      </c>
      <c r="H93" s="197">
        <v>2247.9209999999998</v>
      </c>
      <c r="I93" s="197">
        <v>247.92099999999999</v>
      </c>
    </row>
    <row r="94" spans="1:9" ht="110.25">
      <c r="A94" s="372" t="s">
        <v>768</v>
      </c>
      <c r="B94" s="372" t="s">
        <v>59</v>
      </c>
      <c r="C94" s="372" t="s">
        <v>199</v>
      </c>
      <c r="D94" s="372" t="s">
        <v>200</v>
      </c>
      <c r="E94" s="372" t="s">
        <v>336</v>
      </c>
      <c r="F94" s="373"/>
      <c r="G94" s="197">
        <v>17094.800299999999</v>
      </c>
      <c r="H94" s="197">
        <v>17764.679</v>
      </c>
      <c r="I94" s="197">
        <v>14764.679</v>
      </c>
    </row>
    <row r="95" spans="1:9" ht="63">
      <c r="A95" s="372" t="s">
        <v>755</v>
      </c>
      <c r="B95" s="372" t="s">
        <v>59</v>
      </c>
      <c r="C95" s="372" t="s">
        <v>199</v>
      </c>
      <c r="D95" s="372" t="s">
        <v>200</v>
      </c>
      <c r="E95" s="372" t="s">
        <v>336</v>
      </c>
      <c r="F95" s="372" t="s">
        <v>268</v>
      </c>
      <c r="G95" s="197">
        <v>17094.800299999999</v>
      </c>
      <c r="H95" s="197">
        <v>17764.679</v>
      </c>
      <c r="I95" s="197">
        <v>14764.679</v>
      </c>
    </row>
    <row r="96" spans="1:9" ht="31.5">
      <c r="A96" s="372" t="s">
        <v>1206</v>
      </c>
      <c r="B96" s="372" t="s">
        <v>59</v>
      </c>
      <c r="C96" s="372" t="s">
        <v>199</v>
      </c>
      <c r="D96" s="372" t="s">
        <v>200</v>
      </c>
      <c r="E96" s="372" t="s">
        <v>1195</v>
      </c>
      <c r="F96" s="373"/>
      <c r="G96" s="197">
        <v>640.70000000000005</v>
      </c>
      <c r="H96" s="197">
        <v>0</v>
      </c>
      <c r="I96" s="197">
        <v>0</v>
      </c>
    </row>
    <row r="97" spans="1:9" ht="63">
      <c r="A97" s="372" t="s">
        <v>758</v>
      </c>
      <c r="B97" s="372" t="s">
        <v>59</v>
      </c>
      <c r="C97" s="372" t="s">
        <v>199</v>
      </c>
      <c r="D97" s="372" t="s">
        <v>200</v>
      </c>
      <c r="E97" s="372" t="s">
        <v>1195</v>
      </c>
      <c r="F97" s="372" t="s">
        <v>266</v>
      </c>
      <c r="G97" s="197">
        <v>610.70000000000005</v>
      </c>
      <c r="H97" s="197">
        <v>0</v>
      </c>
      <c r="I97" s="197">
        <v>0</v>
      </c>
    </row>
    <row r="98" spans="1:9" ht="31.5">
      <c r="A98" s="372" t="s">
        <v>769</v>
      </c>
      <c r="B98" s="372" t="s">
        <v>59</v>
      </c>
      <c r="C98" s="372" t="s">
        <v>199</v>
      </c>
      <c r="D98" s="372" t="s">
        <v>200</v>
      </c>
      <c r="E98" s="372" t="s">
        <v>1195</v>
      </c>
      <c r="F98" s="372" t="s">
        <v>271</v>
      </c>
      <c r="G98" s="197">
        <v>30</v>
      </c>
      <c r="H98" s="197">
        <v>0</v>
      </c>
      <c r="I98" s="197">
        <v>0</v>
      </c>
    </row>
    <row r="99" spans="1:9" ht="63">
      <c r="A99" s="372" t="s">
        <v>1185</v>
      </c>
      <c r="B99" s="372" t="s">
        <v>59</v>
      </c>
      <c r="C99" s="372" t="s">
        <v>199</v>
      </c>
      <c r="D99" s="372" t="s">
        <v>200</v>
      </c>
      <c r="E99" s="372" t="s">
        <v>1262</v>
      </c>
      <c r="F99" s="373"/>
      <c r="G99" s="197">
        <v>2219.2387399999998</v>
      </c>
      <c r="H99" s="197">
        <v>0</v>
      </c>
      <c r="I99" s="197">
        <v>0</v>
      </c>
    </row>
    <row r="100" spans="1:9" ht="63">
      <c r="A100" s="372" t="s">
        <v>755</v>
      </c>
      <c r="B100" s="372" t="s">
        <v>59</v>
      </c>
      <c r="C100" s="372" t="s">
        <v>199</v>
      </c>
      <c r="D100" s="372" t="s">
        <v>200</v>
      </c>
      <c r="E100" s="372" t="s">
        <v>1262</v>
      </c>
      <c r="F100" s="372" t="s">
        <v>268</v>
      </c>
      <c r="G100" s="197">
        <v>2219.2387399999998</v>
      </c>
      <c r="H100" s="197">
        <v>0</v>
      </c>
      <c r="I100" s="197">
        <v>0</v>
      </c>
    </row>
    <row r="101" spans="1:9" ht="94.5">
      <c r="A101" s="372" t="s">
        <v>1111</v>
      </c>
      <c r="B101" s="372" t="s">
        <v>59</v>
      </c>
      <c r="C101" s="372" t="s">
        <v>199</v>
      </c>
      <c r="D101" s="372" t="s">
        <v>200</v>
      </c>
      <c r="E101" s="372" t="s">
        <v>977</v>
      </c>
      <c r="F101" s="373"/>
      <c r="G101" s="197">
        <v>7676.0240000000003</v>
      </c>
      <c r="H101" s="197">
        <v>0</v>
      </c>
      <c r="I101" s="197">
        <v>0</v>
      </c>
    </row>
    <row r="102" spans="1:9" ht="63">
      <c r="A102" s="372" t="s">
        <v>755</v>
      </c>
      <c r="B102" s="372" t="s">
        <v>59</v>
      </c>
      <c r="C102" s="372" t="s">
        <v>199</v>
      </c>
      <c r="D102" s="372" t="s">
        <v>200</v>
      </c>
      <c r="E102" s="372" t="s">
        <v>977</v>
      </c>
      <c r="F102" s="372" t="s">
        <v>268</v>
      </c>
      <c r="G102" s="197">
        <v>7676.0240000000003</v>
      </c>
      <c r="H102" s="197">
        <v>0</v>
      </c>
      <c r="I102" s="197">
        <v>0</v>
      </c>
    </row>
    <row r="103" spans="1:9" ht="47.25">
      <c r="A103" s="372" t="s">
        <v>1273</v>
      </c>
      <c r="B103" s="372" t="s">
        <v>59</v>
      </c>
      <c r="C103" s="372" t="s">
        <v>199</v>
      </c>
      <c r="D103" s="372" t="s">
        <v>200</v>
      </c>
      <c r="E103" s="372" t="s">
        <v>1266</v>
      </c>
      <c r="F103" s="373"/>
      <c r="G103" s="197">
        <v>1853.6842099999999</v>
      </c>
      <c r="H103" s="197">
        <v>0</v>
      </c>
      <c r="I103" s="197">
        <v>0</v>
      </c>
    </row>
    <row r="104" spans="1:9" ht="31.5">
      <c r="A104" s="372" t="s">
        <v>509</v>
      </c>
      <c r="B104" s="372" t="s">
        <v>59</v>
      </c>
      <c r="C104" s="372" t="s">
        <v>199</v>
      </c>
      <c r="D104" s="372" t="s">
        <v>200</v>
      </c>
      <c r="E104" s="372" t="s">
        <v>1267</v>
      </c>
      <c r="F104" s="373"/>
      <c r="G104" s="197">
        <v>1853.6842099999999</v>
      </c>
      <c r="H104" s="197">
        <v>0</v>
      </c>
      <c r="I104" s="197">
        <v>0</v>
      </c>
    </row>
    <row r="105" spans="1:9" ht="31.5">
      <c r="A105" s="372" t="s">
        <v>1441</v>
      </c>
      <c r="B105" s="372" t="s">
        <v>59</v>
      </c>
      <c r="C105" s="372" t="s">
        <v>199</v>
      </c>
      <c r="D105" s="372" t="s">
        <v>200</v>
      </c>
      <c r="E105" s="372" t="s">
        <v>1267</v>
      </c>
      <c r="F105" s="373"/>
      <c r="G105" s="197">
        <v>1853.6842099999999</v>
      </c>
      <c r="H105" s="197">
        <v>0</v>
      </c>
      <c r="I105" s="197">
        <v>0</v>
      </c>
    </row>
    <row r="106" spans="1:9" ht="47.25">
      <c r="A106" s="372" t="s">
        <v>1351</v>
      </c>
      <c r="B106" s="372" t="s">
        <v>59</v>
      </c>
      <c r="C106" s="372" t="s">
        <v>199</v>
      </c>
      <c r="D106" s="372" t="s">
        <v>200</v>
      </c>
      <c r="E106" s="372" t="s">
        <v>1348</v>
      </c>
      <c r="F106" s="373"/>
      <c r="G106" s="197">
        <v>1853.6842099999999</v>
      </c>
      <c r="H106" s="197">
        <v>0</v>
      </c>
      <c r="I106" s="197">
        <v>0</v>
      </c>
    </row>
    <row r="107" spans="1:9" ht="63">
      <c r="A107" s="372" t="s">
        <v>755</v>
      </c>
      <c r="B107" s="372" t="s">
        <v>59</v>
      </c>
      <c r="C107" s="372" t="s">
        <v>199</v>
      </c>
      <c r="D107" s="372" t="s">
        <v>200</v>
      </c>
      <c r="E107" s="372" t="s">
        <v>1348</v>
      </c>
      <c r="F107" s="372" t="s">
        <v>268</v>
      </c>
      <c r="G107" s="197">
        <v>1853.6842099999999</v>
      </c>
      <c r="H107" s="197">
        <v>0</v>
      </c>
      <c r="I107" s="197">
        <v>0</v>
      </c>
    </row>
    <row r="108" spans="1:9" ht="63">
      <c r="A108" s="372" t="s">
        <v>524</v>
      </c>
      <c r="B108" s="372" t="s">
        <v>59</v>
      </c>
      <c r="C108" s="372" t="s">
        <v>199</v>
      </c>
      <c r="D108" s="372" t="s">
        <v>200</v>
      </c>
      <c r="E108" s="372" t="s">
        <v>444</v>
      </c>
      <c r="F108" s="373"/>
      <c r="G108" s="197">
        <v>12</v>
      </c>
      <c r="H108" s="197">
        <v>0</v>
      </c>
      <c r="I108" s="197">
        <v>0</v>
      </c>
    </row>
    <row r="109" spans="1:9" ht="31.5">
      <c r="A109" s="372" t="s">
        <v>509</v>
      </c>
      <c r="B109" s="372" t="s">
        <v>59</v>
      </c>
      <c r="C109" s="372" t="s">
        <v>199</v>
      </c>
      <c r="D109" s="372" t="s">
        <v>200</v>
      </c>
      <c r="E109" s="372" t="s">
        <v>445</v>
      </c>
      <c r="F109" s="373"/>
      <c r="G109" s="197">
        <v>12</v>
      </c>
      <c r="H109" s="197">
        <v>0</v>
      </c>
      <c r="I109" s="197">
        <v>0</v>
      </c>
    </row>
    <row r="110" spans="1:9" ht="31.5">
      <c r="A110" s="372" t="s">
        <v>1441</v>
      </c>
      <c r="B110" s="372" t="s">
        <v>59</v>
      </c>
      <c r="C110" s="372" t="s">
        <v>199</v>
      </c>
      <c r="D110" s="372" t="s">
        <v>200</v>
      </c>
      <c r="E110" s="372" t="s">
        <v>445</v>
      </c>
      <c r="F110" s="373"/>
      <c r="G110" s="197">
        <v>12</v>
      </c>
      <c r="H110" s="197">
        <v>0</v>
      </c>
      <c r="I110" s="197">
        <v>0</v>
      </c>
    </row>
    <row r="111" spans="1:9" ht="47.25">
      <c r="A111" s="372" t="s">
        <v>1272</v>
      </c>
      <c r="B111" s="372" t="s">
        <v>59</v>
      </c>
      <c r="C111" s="372" t="s">
        <v>199</v>
      </c>
      <c r="D111" s="372" t="s">
        <v>200</v>
      </c>
      <c r="E111" s="372" t="s">
        <v>1271</v>
      </c>
      <c r="F111" s="373"/>
      <c r="G111" s="197">
        <v>12</v>
      </c>
      <c r="H111" s="197">
        <v>0</v>
      </c>
      <c r="I111" s="197">
        <v>0</v>
      </c>
    </row>
    <row r="112" spans="1:9" ht="63">
      <c r="A112" s="372" t="s">
        <v>755</v>
      </c>
      <c r="B112" s="372" t="s">
        <v>59</v>
      </c>
      <c r="C112" s="372" t="s">
        <v>199</v>
      </c>
      <c r="D112" s="372" t="s">
        <v>200</v>
      </c>
      <c r="E112" s="372" t="s">
        <v>1271</v>
      </c>
      <c r="F112" s="372" t="s">
        <v>268</v>
      </c>
      <c r="G112" s="197">
        <v>12</v>
      </c>
      <c r="H112" s="197">
        <v>0</v>
      </c>
      <c r="I112" s="197">
        <v>0</v>
      </c>
    </row>
    <row r="113" spans="1:9" ht="31.5">
      <c r="A113" s="372" t="s">
        <v>483</v>
      </c>
      <c r="B113" s="372" t="s">
        <v>59</v>
      </c>
      <c r="C113" s="372" t="s">
        <v>199</v>
      </c>
      <c r="D113" s="372" t="s">
        <v>195</v>
      </c>
      <c r="E113" s="373"/>
      <c r="F113" s="373"/>
      <c r="G113" s="197">
        <v>3481.1759999999999</v>
      </c>
      <c r="H113" s="197">
        <v>3481.1759999999999</v>
      </c>
      <c r="I113" s="197">
        <v>3481.1759999999999</v>
      </c>
    </row>
    <row r="114" spans="1:9" ht="63">
      <c r="A114" s="372" t="s">
        <v>470</v>
      </c>
      <c r="B114" s="372" t="s">
        <v>59</v>
      </c>
      <c r="C114" s="372" t="s">
        <v>199</v>
      </c>
      <c r="D114" s="372" t="s">
        <v>195</v>
      </c>
      <c r="E114" s="372" t="s">
        <v>325</v>
      </c>
      <c r="F114" s="373"/>
      <c r="G114" s="197">
        <v>3481.1759999999999</v>
      </c>
      <c r="H114" s="197">
        <v>3481.1759999999999</v>
      </c>
      <c r="I114" s="197">
        <v>3481.1759999999999</v>
      </c>
    </row>
    <row r="115" spans="1:9" ht="78.75">
      <c r="A115" s="372" t="s">
        <v>1112</v>
      </c>
      <c r="B115" s="372" t="s">
        <v>59</v>
      </c>
      <c r="C115" s="372" t="s">
        <v>199</v>
      </c>
      <c r="D115" s="372" t="s">
        <v>195</v>
      </c>
      <c r="E115" s="372" t="s">
        <v>979</v>
      </c>
      <c r="F115" s="373"/>
      <c r="G115" s="197">
        <v>3481.1759999999999</v>
      </c>
      <c r="H115" s="197">
        <v>3481.1759999999999</v>
      </c>
      <c r="I115" s="197">
        <v>3481.1759999999999</v>
      </c>
    </row>
    <row r="116" spans="1:9" ht="94.5">
      <c r="A116" s="372" t="s">
        <v>1113</v>
      </c>
      <c r="B116" s="372" t="s">
        <v>59</v>
      </c>
      <c r="C116" s="372" t="s">
        <v>199</v>
      </c>
      <c r="D116" s="372" t="s">
        <v>195</v>
      </c>
      <c r="E116" s="372" t="s">
        <v>980</v>
      </c>
      <c r="F116" s="373"/>
      <c r="G116" s="197">
        <v>3481.1759999999999</v>
      </c>
      <c r="H116" s="197">
        <v>3481.1759999999999</v>
      </c>
      <c r="I116" s="197">
        <v>3481.1759999999999</v>
      </c>
    </row>
    <row r="117" spans="1:9" ht="63">
      <c r="A117" s="372" t="s">
        <v>1114</v>
      </c>
      <c r="B117" s="372" t="s">
        <v>59</v>
      </c>
      <c r="C117" s="372" t="s">
        <v>199</v>
      </c>
      <c r="D117" s="372" t="s">
        <v>195</v>
      </c>
      <c r="E117" s="372" t="s">
        <v>981</v>
      </c>
      <c r="F117" s="373"/>
      <c r="G117" s="197">
        <v>3451.1759999999999</v>
      </c>
      <c r="H117" s="197">
        <v>3451.1759999999999</v>
      </c>
      <c r="I117" s="197">
        <v>3451.1759999999999</v>
      </c>
    </row>
    <row r="118" spans="1:9" ht="141.75">
      <c r="A118" s="372" t="s">
        <v>771</v>
      </c>
      <c r="B118" s="372" t="s">
        <v>59</v>
      </c>
      <c r="C118" s="372" t="s">
        <v>199</v>
      </c>
      <c r="D118" s="372" t="s">
        <v>195</v>
      </c>
      <c r="E118" s="372" t="s">
        <v>981</v>
      </c>
      <c r="F118" s="372" t="s">
        <v>265</v>
      </c>
      <c r="G118" s="197">
        <v>2982.6689999999999</v>
      </c>
      <c r="H118" s="197">
        <v>2982.6689999999999</v>
      </c>
      <c r="I118" s="197">
        <v>2982.6689999999999</v>
      </c>
    </row>
    <row r="119" spans="1:9" ht="63">
      <c r="A119" s="372" t="s">
        <v>758</v>
      </c>
      <c r="B119" s="372" t="s">
        <v>59</v>
      </c>
      <c r="C119" s="372" t="s">
        <v>199</v>
      </c>
      <c r="D119" s="372" t="s">
        <v>195</v>
      </c>
      <c r="E119" s="372" t="s">
        <v>981</v>
      </c>
      <c r="F119" s="372" t="s">
        <v>266</v>
      </c>
      <c r="G119" s="197">
        <v>463.15699999999998</v>
      </c>
      <c r="H119" s="197">
        <v>463.15699999999998</v>
      </c>
      <c r="I119" s="197">
        <v>463.15699999999998</v>
      </c>
    </row>
    <row r="120" spans="1:9" ht="31.5">
      <c r="A120" s="372" t="s">
        <v>772</v>
      </c>
      <c r="B120" s="372" t="s">
        <v>59</v>
      </c>
      <c r="C120" s="372" t="s">
        <v>199</v>
      </c>
      <c r="D120" s="372" t="s">
        <v>195</v>
      </c>
      <c r="E120" s="372" t="s">
        <v>981</v>
      </c>
      <c r="F120" s="372" t="s">
        <v>267</v>
      </c>
      <c r="G120" s="197">
        <v>5.35</v>
      </c>
      <c r="H120" s="197">
        <v>5.35</v>
      </c>
      <c r="I120" s="197">
        <v>5.35</v>
      </c>
    </row>
    <row r="121" spans="1:9" ht="110.25">
      <c r="A121" s="372" t="s">
        <v>1115</v>
      </c>
      <c r="B121" s="372" t="s">
        <v>59</v>
      </c>
      <c r="C121" s="372" t="s">
        <v>199</v>
      </c>
      <c r="D121" s="372" t="s">
        <v>195</v>
      </c>
      <c r="E121" s="372" t="s">
        <v>982</v>
      </c>
      <c r="F121" s="373"/>
      <c r="G121" s="197">
        <v>30</v>
      </c>
      <c r="H121" s="197">
        <v>30</v>
      </c>
      <c r="I121" s="197">
        <v>30</v>
      </c>
    </row>
    <row r="122" spans="1:9" ht="63">
      <c r="A122" s="372" t="s">
        <v>758</v>
      </c>
      <c r="B122" s="372" t="s">
        <v>59</v>
      </c>
      <c r="C122" s="372" t="s">
        <v>199</v>
      </c>
      <c r="D122" s="372" t="s">
        <v>195</v>
      </c>
      <c r="E122" s="372" t="s">
        <v>982</v>
      </c>
      <c r="F122" s="372" t="s">
        <v>266</v>
      </c>
      <c r="G122" s="197">
        <v>30</v>
      </c>
      <c r="H122" s="197">
        <v>30</v>
      </c>
      <c r="I122" s="197">
        <v>30</v>
      </c>
    </row>
    <row r="123" spans="1:9" ht="47.25">
      <c r="A123" s="372" t="s">
        <v>39</v>
      </c>
      <c r="B123" s="372" t="s">
        <v>57</v>
      </c>
      <c r="C123" s="373"/>
      <c r="D123" s="373"/>
      <c r="E123" s="373"/>
      <c r="F123" s="373"/>
      <c r="G123" s="197">
        <v>718591.86253000004</v>
      </c>
      <c r="H123" s="197">
        <v>709443.70391000004</v>
      </c>
      <c r="I123" s="197">
        <v>724044.59190999996</v>
      </c>
    </row>
    <row r="124" spans="1:9" ht="15.75">
      <c r="A124" s="372" t="s">
        <v>475</v>
      </c>
      <c r="B124" s="372" t="s">
        <v>57</v>
      </c>
      <c r="C124" s="372" t="s">
        <v>197</v>
      </c>
      <c r="D124" s="373"/>
      <c r="E124" s="373"/>
      <c r="F124" s="373"/>
      <c r="G124" s="197">
        <v>714037.76029000001</v>
      </c>
      <c r="H124" s="197">
        <v>704761.1973</v>
      </c>
      <c r="I124" s="197">
        <v>719362.08530000004</v>
      </c>
    </row>
    <row r="125" spans="1:9" ht="15.75">
      <c r="A125" s="372" t="s">
        <v>485</v>
      </c>
      <c r="B125" s="372" t="s">
        <v>57</v>
      </c>
      <c r="C125" s="372" t="s">
        <v>197</v>
      </c>
      <c r="D125" s="372" t="s">
        <v>200</v>
      </c>
      <c r="E125" s="373"/>
      <c r="F125" s="373"/>
      <c r="G125" s="197">
        <v>378536.12034999998</v>
      </c>
      <c r="H125" s="197">
        <v>371894.18540000002</v>
      </c>
      <c r="I125" s="197">
        <v>379195.95775</v>
      </c>
    </row>
    <row r="126" spans="1:9" ht="63">
      <c r="A126" s="372" t="s">
        <v>477</v>
      </c>
      <c r="B126" s="372" t="s">
        <v>57</v>
      </c>
      <c r="C126" s="372" t="s">
        <v>197</v>
      </c>
      <c r="D126" s="372" t="s">
        <v>200</v>
      </c>
      <c r="E126" s="372" t="s">
        <v>303</v>
      </c>
      <c r="F126" s="373"/>
      <c r="G126" s="197">
        <v>377105.87832000002</v>
      </c>
      <c r="H126" s="197">
        <v>371894.18540000002</v>
      </c>
      <c r="I126" s="197">
        <v>379195.95775</v>
      </c>
    </row>
    <row r="127" spans="1:9" ht="63">
      <c r="A127" s="372" t="s">
        <v>486</v>
      </c>
      <c r="B127" s="372" t="s">
        <v>57</v>
      </c>
      <c r="C127" s="372" t="s">
        <v>197</v>
      </c>
      <c r="D127" s="372" t="s">
        <v>200</v>
      </c>
      <c r="E127" s="372" t="s">
        <v>308</v>
      </c>
      <c r="F127" s="373"/>
      <c r="G127" s="197">
        <v>366203.25665</v>
      </c>
      <c r="H127" s="197">
        <v>371157.14539999998</v>
      </c>
      <c r="I127" s="197">
        <v>378308.91775000002</v>
      </c>
    </row>
    <row r="128" spans="1:9" ht="47.25">
      <c r="A128" s="372" t="s">
        <v>773</v>
      </c>
      <c r="B128" s="372" t="s">
        <v>57</v>
      </c>
      <c r="C128" s="372" t="s">
        <v>197</v>
      </c>
      <c r="D128" s="372" t="s">
        <v>200</v>
      </c>
      <c r="E128" s="372" t="s">
        <v>309</v>
      </c>
      <c r="F128" s="373"/>
      <c r="G128" s="197">
        <v>366203.25665</v>
      </c>
      <c r="H128" s="197">
        <v>371157.14539999998</v>
      </c>
      <c r="I128" s="197">
        <v>378308.91775000002</v>
      </c>
    </row>
    <row r="129" spans="1:9" ht="47.25">
      <c r="A129" s="372" t="s">
        <v>880</v>
      </c>
      <c r="B129" s="372" t="s">
        <v>57</v>
      </c>
      <c r="C129" s="372" t="s">
        <v>197</v>
      </c>
      <c r="D129" s="372" t="s">
        <v>200</v>
      </c>
      <c r="E129" s="372" t="s">
        <v>868</v>
      </c>
      <c r="F129" s="373"/>
      <c r="G129" s="197">
        <v>56061.570809999997</v>
      </c>
      <c r="H129" s="197">
        <v>55532.717649999999</v>
      </c>
      <c r="I129" s="197">
        <v>51532.716999999997</v>
      </c>
    </row>
    <row r="130" spans="1:9" ht="63">
      <c r="A130" s="372" t="s">
        <v>755</v>
      </c>
      <c r="B130" s="372" t="s">
        <v>57</v>
      </c>
      <c r="C130" s="372" t="s">
        <v>197</v>
      </c>
      <c r="D130" s="372" t="s">
        <v>200</v>
      </c>
      <c r="E130" s="372" t="s">
        <v>868</v>
      </c>
      <c r="F130" s="372" t="s">
        <v>268</v>
      </c>
      <c r="G130" s="197">
        <v>56061.570809999997</v>
      </c>
      <c r="H130" s="197">
        <v>55532.717649999999</v>
      </c>
      <c r="I130" s="197">
        <v>51532.716999999997</v>
      </c>
    </row>
    <row r="131" spans="1:9" ht="63">
      <c r="A131" s="372" t="s">
        <v>774</v>
      </c>
      <c r="B131" s="372" t="s">
        <v>57</v>
      </c>
      <c r="C131" s="372" t="s">
        <v>197</v>
      </c>
      <c r="D131" s="372" t="s">
        <v>200</v>
      </c>
      <c r="E131" s="372" t="s">
        <v>310</v>
      </c>
      <c r="F131" s="373"/>
      <c r="G131" s="197">
        <v>81869.497839999996</v>
      </c>
      <c r="H131" s="197">
        <v>79878.279750000002</v>
      </c>
      <c r="I131" s="197">
        <v>79878.279750000002</v>
      </c>
    </row>
    <row r="132" spans="1:9" ht="63">
      <c r="A132" s="372" t="s">
        <v>755</v>
      </c>
      <c r="B132" s="372" t="s">
        <v>57</v>
      </c>
      <c r="C132" s="372" t="s">
        <v>197</v>
      </c>
      <c r="D132" s="372" t="s">
        <v>200</v>
      </c>
      <c r="E132" s="372" t="s">
        <v>310</v>
      </c>
      <c r="F132" s="372" t="s">
        <v>268</v>
      </c>
      <c r="G132" s="197">
        <v>81869.497839999996</v>
      </c>
      <c r="H132" s="197">
        <v>79878.279750000002</v>
      </c>
      <c r="I132" s="197">
        <v>79878.279750000002</v>
      </c>
    </row>
    <row r="133" spans="1:9" ht="47.25">
      <c r="A133" s="372" t="s">
        <v>881</v>
      </c>
      <c r="B133" s="372" t="s">
        <v>57</v>
      </c>
      <c r="C133" s="372" t="s">
        <v>197</v>
      </c>
      <c r="D133" s="372" t="s">
        <v>200</v>
      </c>
      <c r="E133" s="372" t="s">
        <v>870</v>
      </c>
      <c r="F133" s="373"/>
      <c r="G133" s="197">
        <v>1053.3119999999999</v>
      </c>
      <c r="H133" s="197">
        <v>1053.3119999999999</v>
      </c>
      <c r="I133" s="197">
        <v>1053.3119999999999</v>
      </c>
    </row>
    <row r="134" spans="1:9" ht="63">
      <c r="A134" s="372" t="s">
        <v>755</v>
      </c>
      <c r="B134" s="372" t="s">
        <v>57</v>
      </c>
      <c r="C134" s="372" t="s">
        <v>197</v>
      </c>
      <c r="D134" s="372" t="s">
        <v>200</v>
      </c>
      <c r="E134" s="372" t="s">
        <v>870</v>
      </c>
      <c r="F134" s="372" t="s">
        <v>268</v>
      </c>
      <c r="G134" s="197">
        <v>1053.3119999999999</v>
      </c>
      <c r="H134" s="197">
        <v>1053.3119999999999</v>
      </c>
      <c r="I134" s="197">
        <v>1053.3119999999999</v>
      </c>
    </row>
    <row r="135" spans="1:9" ht="236.25">
      <c r="A135" s="372" t="s">
        <v>775</v>
      </c>
      <c r="B135" s="372" t="s">
        <v>57</v>
      </c>
      <c r="C135" s="372" t="s">
        <v>197</v>
      </c>
      <c r="D135" s="372" t="s">
        <v>200</v>
      </c>
      <c r="E135" s="372" t="s">
        <v>311</v>
      </c>
      <c r="F135" s="373"/>
      <c r="G135" s="197">
        <v>2188.29</v>
      </c>
      <c r="H135" s="197">
        <v>2188.29</v>
      </c>
      <c r="I135" s="197">
        <v>2188.29</v>
      </c>
    </row>
    <row r="136" spans="1:9" ht="63">
      <c r="A136" s="372" t="s">
        <v>755</v>
      </c>
      <c r="B136" s="372" t="s">
        <v>57</v>
      </c>
      <c r="C136" s="372" t="s">
        <v>197</v>
      </c>
      <c r="D136" s="372" t="s">
        <v>200</v>
      </c>
      <c r="E136" s="372" t="s">
        <v>311</v>
      </c>
      <c r="F136" s="372" t="s">
        <v>268</v>
      </c>
      <c r="G136" s="197">
        <v>2188.29</v>
      </c>
      <c r="H136" s="197">
        <v>2188.29</v>
      </c>
      <c r="I136" s="197">
        <v>2188.29</v>
      </c>
    </row>
    <row r="137" spans="1:9" ht="299.25">
      <c r="A137" s="372" t="s">
        <v>897</v>
      </c>
      <c r="B137" s="372" t="s">
        <v>57</v>
      </c>
      <c r="C137" s="372" t="s">
        <v>197</v>
      </c>
      <c r="D137" s="372" t="s">
        <v>200</v>
      </c>
      <c r="E137" s="372" t="s">
        <v>312</v>
      </c>
      <c r="F137" s="373"/>
      <c r="G137" s="197">
        <v>225030.58600000001</v>
      </c>
      <c r="H137" s="197">
        <v>232504.546</v>
      </c>
      <c r="I137" s="197">
        <v>243656.31899999999</v>
      </c>
    </row>
    <row r="138" spans="1:9" ht="63">
      <c r="A138" s="372" t="s">
        <v>755</v>
      </c>
      <c r="B138" s="372" t="s">
        <v>57</v>
      </c>
      <c r="C138" s="372" t="s">
        <v>197</v>
      </c>
      <c r="D138" s="372" t="s">
        <v>200</v>
      </c>
      <c r="E138" s="372" t="s">
        <v>312</v>
      </c>
      <c r="F138" s="372" t="s">
        <v>268</v>
      </c>
      <c r="G138" s="197">
        <v>225030.58600000001</v>
      </c>
      <c r="H138" s="197">
        <v>232504.546</v>
      </c>
      <c r="I138" s="197">
        <v>243656.31899999999</v>
      </c>
    </row>
    <row r="139" spans="1:9" ht="63">
      <c r="A139" s="372" t="s">
        <v>1110</v>
      </c>
      <c r="B139" s="372" t="s">
        <v>57</v>
      </c>
      <c r="C139" s="372" t="s">
        <v>197</v>
      </c>
      <c r="D139" s="372" t="s">
        <v>200</v>
      </c>
      <c r="E139" s="372" t="s">
        <v>321</v>
      </c>
      <c r="F139" s="373"/>
      <c r="G139" s="197">
        <v>10902.62167</v>
      </c>
      <c r="H139" s="197">
        <v>737.04</v>
      </c>
      <c r="I139" s="197">
        <v>887.04</v>
      </c>
    </row>
    <row r="140" spans="1:9" ht="63">
      <c r="A140" s="372" t="s">
        <v>1458</v>
      </c>
      <c r="B140" s="372" t="s">
        <v>57</v>
      </c>
      <c r="C140" s="372" t="s">
        <v>197</v>
      </c>
      <c r="D140" s="372" t="s">
        <v>200</v>
      </c>
      <c r="E140" s="372" t="s">
        <v>1161</v>
      </c>
      <c r="F140" s="373"/>
      <c r="G140" s="197">
        <v>3545.88481</v>
      </c>
      <c r="H140" s="197">
        <v>0</v>
      </c>
      <c r="I140" s="197">
        <v>0</v>
      </c>
    </row>
    <row r="141" spans="1:9" ht="47.25">
      <c r="A141" s="372" t="s">
        <v>1413</v>
      </c>
      <c r="B141" s="372" t="s">
        <v>57</v>
      </c>
      <c r="C141" s="372" t="s">
        <v>197</v>
      </c>
      <c r="D141" s="372" t="s">
        <v>200</v>
      </c>
      <c r="E141" s="372" t="s">
        <v>1402</v>
      </c>
      <c r="F141" s="373"/>
      <c r="G141" s="197">
        <v>3545.88481</v>
      </c>
      <c r="H141" s="197">
        <v>0</v>
      </c>
      <c r="I141" s="197">
        <v>0</v>
      </c>
    </row>
    <row r="142" spans="1:9" ht="63">
      <c r="A142" s="372" t="s">
        <v>755</v>
      </c>
      <c r="B142" s="372" t="s">
        <v>57</v>
      </c>
      <c r="C142" s="372" t="s">
        <v>197</v>
      </c>
      <c r="D142" s="372" t="s">
        <v>200</v>
      </c>
      <c r="E142" s="372" t="s">
        <v>1402</v>
      </c>
      <c r="F142" s="372" t="s">
        <v>268</v>
      </c>
      <c r="G142" s="197">
        <v>3545.88481</v>
      </c>
      <c r="H142" s="197">
        <v>0</v>
      </c>
      <c r="I142" s="197">
        <v>0</v>
      </c>
    </row>
    <row r="143" spans="1:9" ht="47.25">
      <c r="A143" s="372" t="s">
        <v>1454</v>
      </c>
      <c r="B143" s="372" t="s">
        <v>57</v>
      </c>
      <c r="C143" s="372" t="s">
        <v>197</v>
      </c>
      <c r="D143" s="372" t="s">
        <v>200</v>
      </c>
      <c r="E143" s="372" t="s">
        <v>322</v>
      </c>
      <c r="F143" s="373"/>
      <c r="G143" s="197">
        <v>7356.73686</v>
      </c>
      <c r="H143" s="197">
        <v>737.04</v>
      </c>
      <c r="I143" s="197">
        <v>887.04</v>
      </c>
    </row>
    <row r="144" spans="1:9" ht="63">
      <c r="A144" s="372" t="s">
        <v>1185</v>
      </c>
      <c r="B144" s="372" t="s">
        <v>57</v>
      </c>
      <c r="C144" s="372" t="s">
        <v>197</v>
      </c>
      <c r="D144" s="372" t="s">
        <v>200</v>
      </c>
      <c r="E144" s="372" t="s">
        <v>1261</v>
      </c>
      <c r="F144" s="373"/>
      <c r="G144" s="197">
        <v>5259.45586</v>
      </c>
      <c r="H144" s="197">
        <v>0</v>
      </c>
      <c r="I144" s="197">
        <v>0</v>
      </c>
    </row>
    <row r="145" spans="1:9" ht="63">
      <c r="A145" s="372" t="s">
        <v>755</v>
      </c>
      <c r="B145" s="372" t="s">
        <v>57</v>
      </c>
      <c r="C145" s="372" t="s">
        <v>197</v>
      </c>
      <c r="D145" s="372" t="s">
        <v>200</v>
      </c>
      <c r="E145" s="372" t="s">
        <v>1261</v>
      </c>
      <c r="F145" s="372" t="s">
        <v>268</v>
      </c>
      <c r="G145" s="197">
        <v>5259.45586</v>
      </c>
      <c r="H145" s="197">
        <v>0</v>
      </c>
      <c r="I145" s="197">
        <v>0</v>
      </c>
    </row>
    <row r="146" spans="1:9" ht="47.25">
      <c r="A146" s="372" t="s">
        <v>1116</v>
      </c>
      <c r="B146" s="372" t="s">
        <v>57</v>
      </c>
      <c r="C146" s="372" t="s">
        <v>197</v>
      </c>
      <c r="D146" s="372" t="s">
        <v>200</v>
      </c>
      <c r="E146" s="372" t="s">
        <v>323</v>
      </c>
      <c r="F146" s="373"/>
      <c r="G146" s="197">
        <v>2097.2809999999999</v>
      </c>
      <c r="H146" s="197">
        <v>737.04</v>
      </c>
      <c r="I146" s="197">
        <v>887.04</v>
      </c>
    </row>
    <row r="147" spans="1:9" ht="63">
      <c r="A147" s="372" t="s">
        <v>755</v>
      </c>
      <c r="B147" s="372" t="s">
        <v>57</v>
      </c>
      <c r="C147" s="372" t="s">
        <v>197</v>
      </c>
      <c r="D147" s="372" t="s">
        <v>200</v>
      </c>
      <c r="E147" s="372" t="s">
        <v>323</v>
      </c>
      <c r="F147" s="372" t="s">
        <v>268</v>
      </c>
      <c r="G147" s="197">
        <v>2097.2809999999999</v>
      </c>
      <c r="H147" s="197">
        <v>737.04</v>
      </c>
      <c r="I147" s="197">
        <v>887.04</v>
      </c>
    </row>
    <row r="148" spans="1:9" ht="47.25">
      <c r="A148" s="372" t="s">
        <v>1273</v>
      </c>
      <c r="B148" s="372" t="s">
        <v>57</v>
      </c>
      <c r="C148" s="372" t="s">
        <v>197</v>
      </c>
      <c r="D148" s="372" t="s">
        <v>200</v>
      </c>
      <c r="E148" s="372" t="s">
        <v>1266</v>
      </c>
      <c r="F148" s="373"/>
      <c r="G148" s="197">
        <v>1157.89474</v>
      </c>
      <c r="H148" s="197">
        <v>0</v>
      </c>
      <c r="I148" s="197">
        <v>0</v>
      </c>
    </row>
    <row r="149" spans="1:9" ht="31.5">
      <c r="A149" s="372" t="s">
        <v>509</v>
      </c>
      <c r="B149" s="372" t="s">
        <v>57</v>
      </c>
      <c r="C149" s="372" t="s">
        <v>197</v>
      </c>
      <c r="D149" s="372" t="s">
        <v>200</v>
      </c>
      <c r="E149" s="372" t="s">
        <v>1267</v>
      </c>
      <c r="F149" s="373"/>
      <c r="G149" s="197">
        <v>1157.89474</v>
      </c>
      <c r="H149" s="197">
        <v>0</v>
      </c>
      <c r="I149" s="197">
        <v>0</v>
      </c>
    </row>
    <row r="150" spans="1:9" ht="31.5">
      <c r="A150" s="372" t="s">
        <v>1441</v>
      </c>
      <c r="B150" s="372" t="s">
        <v>57</v>
      </c>
      <c r="C150" s="372" t="s">
        <v>197</v>
      </c>
      <c r="D150" s="372" t="s">
        <v>200</v>
      </c>
      <c r="E150" s="372" t="s">
        <v>1267</v>
      </c>
      <c r="F150" s="373"/>
      <c r="G150" s="197">
        <v>1157.89474</v>
      </c>
      <c r="H150" s="197">
        <v>0</v>
      </c>
      <c r="I150" s="197">
        <v>0</v>
      </c>
    </row>
    <row r="151" spans="1:9" ht="47.25">
      <c r="A151" s="372" t="s">
        <v>1274</v>
      </c>
      <c r="B151" s="372" t="s">
        <v>57</v>
      </c>
      <c r="C151" s="372" t="s">
        <v>197</v>
      </c>
      <c r="D151" s="372" t="s">
        <v>200</v>
      </c>
      <c r="E151" s="372" t="s">
        <v>1269</v>
      </c>
      <c r="F151" s="373"/>
      <c r="G151" s="197">
        <v>1157.89474</v>
      </c>
      <c r="H151" s="197">
        <v>0</v>
      </c>
      <c r="I151" s="197">
        <v>0</v>
      </c>
    </row>
    <row r="152" spans="1:9" ht="63">
      <c r="A152" s="372" t="s">
        <v>755</v>
      </c>
      <c r="B152" s="372" t="s">
        <v>57</v>
      </c>
      <c r="C152" s="372" t="s">
        <v>197</v>
      </c>
      <c r="D152" s="372" t="s">
        <v>200</v>
      </c>
      <c r="E152" s="372" t="s">
        <v>1269</v>
      </c>
      <c r="F152" s="372" t="s">
        <v>268</v>
      </c>
      <c r="G152" s="197">
        <v>1157.89474</v>
      </c>
      <c r="H152" s="197">
        <v>0</v>
      </c>
      <c r="I152" s="197">
        <v>0</v>
      </c>
    </row>
    <row r="153" spans="1:9" ht="63">
      <c r="A153" s="372" t="s">
        <v>524</v>
      </c>
      <c r="B153" s="372" t="s">
        <v>57</v>
      </c>
      <c r="C153" s="372" t="s">
        <v>197</v>
      </c>
      <c r="D153" s="372" t="s">
        <v>200</v>
      </c>
      <c r="E153" s="372" t="s">
        <v>444</v>
      </c>
      <c r="F153" s="373"/>
      <c r="G153" s="197">
        <v>272.34728999999999</v>
      </c>
      <c r="H153" s="197">
        <v>0</v>
      </c>
      <c r="I153" s="197">
        <v>0</v>
      </c>
    </row>
    <row r="154" spans="1:9" ht="31.5">
      <c r="A154" s="372" t="s">
        <v>509</v>
      </c>
      <c r="B154" s="372" t="s">
        <v>57</v>
      </c>
      <c r="C154" s="372" t="s">
        <v>197</v>
      </c>
      <c r="D154" s="372" t="s">
        <v>200</v>
      </c>
      <c r="E154" s="372" t="s">
        <v>445</v>
      </c>
      <c r="F154" s="373"/>
      <c r="G154" s="197">
        <v>272.34728999999999</v>
      </c>
      <c r="H154" s="197">
        <v>0</v>
      </c>
      <c r="I154" s="197">
        <v>0</v>
      </c>
    </row>
    <row r="155" spans="1:9" ht="31.5">
      <c r="A155" s="372" t="s">
        <v>1441</v>
      </c>
      <c r="B155" s="372" t="s">
        <v>57</v>
      </c>
      <c r="C155" s="372" t="s">
        <v>197</v>
      </c>
      <c r="D155" s="372" t="s">
        <v>200</v>
      </c>
      <c r="E155" s="372" t="s">
        <v>445</v>
      </c>
      <c r="F155" s="373"/>
      <c r="G155" s="197">
        <v>272.34728999999999</v>
      </c>
      <c r="H155" s="197">
        <v>0</v>
      </c>
      <c r="I155" s="197">
        <v>0</v>
      </c>
    </row>
    <row r="156" spans="1:9" ht="31.5">
      <c r="A156" s="372" t="s">
        <v>1186</v>
      </c>
      <c r="B156" s="372" t="s">
        <v>57</v>
      </c>
      <c r="C156" s="372" t="s">
        <v>197</v>
      </c>
      <c r="D156" s="372" t="s">
        <v>200</v>
      </c>
      <c r="E156" s="372" t="s">
        <v>1181</v>
      </c>
      <c r="F156" s="373"/>
      <c r="G156" s="197">
        <v>167.34728999999999</v>
      </c>
      <c r="H156" s="197">
        <v>0</v>
      </c>
      <c r="I156" s="197">
        <v>0</v>
      </c>
    </row>
    <row r="157" spans="1:9" ht="63">
      <c r="A157" s="372" t="s">
        <v>755</v>
      </c>
      <c r="B157" s="372" t="s">
        <v>57</v>
      </c>
      <c r="C157" s="372" t="s">
        <v>197</v>
      </c>
      <c r="D157" s="372" t="s">
        <v>200</v>
      </c>
      <c r="E157" s="372" t="s">
        <v>1181</v>
      </c>
      <c r="F157" s="372" t="s">
        <v>268</v>
      </c>
      <c r="G157" s="197">
        <v>167.34728999999999</v>
      </c>
      <c r="H157" s="197">
        <v>0</v>
      </c>
      <c r="I157" s="197">
        <v>0</v>
      </c>
    </row>
    <row r="158" spans="1:9" ht="47.25">
      <c r="A158" s="372" t="s">
        <v>1272</v>
      </c>
      <c r="B158" s="372" t="s">
        <v>57</v>
      </c>
      <c r="C158" s="372" t="s">
        <v>197</v>
      </c>
      <c r="D158" s="372" t="s">
        <v>200</v>
      </c>
      <c r="E158" s="372" t="s">
        <v>1271</v>
      </c>
      <c r="F158" s="373"/>
      <c r="G158" s="197">
        <v>105</v>
      </c>
      <c r="H158" s="197">
        <v>0</v>
      </c>
      <c r="I158" s="197">
        <v>0</v>
      </c>
    </row>
    <row r="159" spans="1:9" ht="63">
      <c r="A159" s="372" t="s">
        <v>755</v>
      </c>
      <c r="B159" s="372" t="s">
        <v>57</v>
      </c>
      <c r="C159" s="372" t="s">
        <v>197</v>
      </c>
      <c r="D159" s="372" t="s">
        <v>200</v>
      </c>
      <c r="E159" s="372" t="s">
        <v>1271</v>
      </c>
      <c r="F159" s="372" t="s">
        <v>268</v>
      </c>
      <c r="G159" s="197">
        <v>105</v>
      </c>
      <c r="H159" s="197">
        <v>0</v>
      </c>
      <c r="I159" s="197">
        <v>0</v>
      </c>
    </row>
    <row r="160" spans="1:9" ht="15.75">
      <c r="A160" s="372" t="s">
        <v>487</v>
      </c>
      <c r="B160" s="372" t="s">
        <v>57</v>
      </c>
      <c r="C160" s="372" t="s">
        <v>197</v>
      </c>
      <c r="D160" s="372" t="s">
        <v>198</v>
      </c>
      <c r="E160" s="373"/>
      <c r="F160" s="373"/>
      <c r="G160" s="197">
        <v>290406.40957000002</v>
      </c>
      <c r="H160" s="197">
        <v>290714.01153000002</v>
      </c>
      <c r="I160" s="197">
        <v>297953.12718000001</v>
      </c>
    </row>
    <row r="161" spans="1:9" ht="63">
      <c r="A161" s="372" t="s">
        <v>477</v>
      </c>
      <c r="B161" s="372" t="s">
        <v>57</v>
      </c>
      <c r="C161" s="372" t="s">
        <v>197</v>
      </c>
      <c r="D161" s="372" t="s">
        <v>198</v>
      </c>
      <c r="E161" s="372" t="s">
        <v>303</v>
      </c>
      <c r="F161" s="373"/>
      <c r="G161" s="197">
        <v>288222.20084</v>
      </c>
      <c r="H161" s="197">
        <v>290714.01153000002</v>
      </c>
      <c r="I161" s="197">
        <v>297953.12718000001</v>
      </c>
    </row>
    <row r="162" spans="1:9" ht="63">
      <c r="A162" s="372" t="s">
        <v>488</v>
      </c>
      <c r="B162" s="372" t="s">
        <v>57</v>
      </c>
      <c r="C162" s="372" t="s">
        <v>197</v>
      </c>
      <c r="D162" s="372" t="s">
        <v>198</v>
      </c>
      <c r="E162" s="372" t="s">
        <v>422</v>
      </c>
      <c r="F162" s="373"/>
      <c r="G162" s="197">
        <v>280622.89594000002</v>
      </c>
      <c r="H162" s="197">
        <v>287508.647</v>
      </c>
      <c r="I162" s="197">
        <v>294957.76199999999</v>
      </c>
    </row>
    <row r="163" spans="1:9" ht="63">
      <c r="A163" s="372" t="s">
        <v>776</v>
      </c>
      <c r="B163" s="372" t="s">
        <v>57</v>
      </c>
      <c r="C163" s="372" t="s">
        <v>197</v>
      </c>
      <c r="D163" s="372" t="s">
        <v>198</v>
      </c>
      <c r="E163" s="372" t="s">
        <v>304</v>
      </c>
      <c r="F163" s="373"/>
      <c r="G163" s="197">
        <v>280622.89594000002</v>
      </c>
      <c r="H163" s="197">
        <v>287508.647</v>
      </c>
      <c r="I163" s="197">
        <v>294957.76199999999</v>
      </c>
    </row>
    <row r="164" spans="1:9" ht="47.25">
      <c r="A164" s="372" t="s">
        <v>880</v>
      </c>
      <c r="B164" s="372" t="s">
        <v>57</v>
      </c>
      <c r="C164" s="372" t="s">
        <v>197</v>
      </c>
      <c r="D164" s="372" t="s">
        <v>198</v>
      </c>
      <c r="E164" s="372" t="s">
        <v>871</v>
      </c>
      <c r="F164" s="373"/>
      <c r="G164" s="197">
        <v>55717.337</v>
      </c>
      <c r="H164" s="197">
        <v>56431.614999999998</v>
      </c>
      <c r="I164" s="197">
        <v>53431.614999999998</v>
      </c>
    </row>
    <row r="165" spans="1:9" ht="63">
      <c r="A165" s="372" t="s">
        <v>755</v>
      </c>
      <c r="B165" s="372" t="s">
        <v>57</v>
      </c>
      <c r="C165" s="372" t="s">
        <v>197</v>
      </c>
      <c r="D165" s="372" t="s">
        <v>198</v>
      </c>
      <c r="E165" s="372" t="s">
        <v>871</v>
      </c>
      <c r="F165" s="372" t="s">
        <v>268</v>
      </c>
      <c r="G165" s="197">
        <v>55717.337</v>
      </c>
      <c r="H165" s="197">
        <v>56431.614999999998</v>
      </c>
      <c r="I165" s="197">
        <v>53431.614999999998</v>
      </c>
    </row>
    <row r="166" spans="1:9" ht="78.75">
      <c r="A166" s="372" t="s">
        <v>777</v>
      </c>
      <c r="B166" s="372" t="s">
        <v>57</v>
      </c>
      <c r="C166" s="372" t="s">
        <v>197</v>
      </c>
      <c r="D166" s="372" t="s">
        <v>198</v>
      </c>
      <c r="E166" s="372" t="s">
        <v>305</v>
      </c>
      <c r="F166" s="373"/>
      <c r="G166" s="197">
        <v>14466.35144</v>
      </c>
      <c r="H166" s="197">
        <v>13992.300999999999</v>
      </c>
      <c r="I166" s="197">
        <v>13992.300999999999</v>
      </c>
    </row>
    <row r="167" spans="1:9" ht="63">
      <c r="A167" s="372" t="s">
        <v>755</v>
      </c>
      <c r="B167" s="372" t="s">
        <v>57</v>
      </c>
      <c r="C167" s="372" t="s">
        <v>197</v>
      </c>
      <c r="D167" s="372" t="s">
        <v>198</v>
      </c>
      <c r="E167" s="372" t="s">
        <v>305</v>
      </c>
      <c r="F167" s="372" t="s">
        <v>268</v>
      </c>
      <c r="G167" s="197">
        <v>14466.35144</v>
      </c>
      <c r="H167" s="197">
        <v>13992.300999999999</v>
      </c>
      <c r="I167" s="197">
        <v>13992.300999999999</v>
      </c>
    </row>
    <row r="168" spans="1:9" ht="315">
      <c r="A168" s="372" t="s">
        <v>898</v>
      </c>
      <c r="B168" s="372" t="s">
        <v>57</v>
      </c>
      <c r="C168" s="372" t="s">
        <v>197</v>
      </c>
      <c r="D168" s="372" t="s">
        <v>198</v>
      </c>
      <c r="E168" s="372" t="s">
        <v>306</v>
      </c>
      <c r="F168" s="373"/>
      <c r="G168" s="197">
        <v>208121.53400000001</v>
      </c>
      <c r="H168" s="197">
        <v>214694.446</v>
      </c>
      <c r="I168" s="197">
        <v>225028.48499999999</v>
      </c>
    </row>
    <row r="169" spans="1:9" ht="63">
      <c r="A169" s="372" t="s">
        <v>755</v>
      </c>
      <c r="B169" s="372" t="s">
        <v>57</v>
      </c>
      <c r="C169" s="372" t="s">
        <v>197</v>
      </c>
      <c r="D169" s="372" t="s">
        <v>198</v>
      </c>
      <c r="E169" s="372" t="s">
        <v>306</v>
      </c>
      <c r="F169" s="372" t="s">
        <v>268</v>
      </c>
      <c r="G169" s="197">
        <v>208121.53400000001</v>
      </c>
      <c r="H169" s="197">
        <v>214694.446</v>
      </c>
      <c r="I169" s="197">
        <v>225028.48499999999</v>
      </c>
    </row>
    <row r="170" spans="1:9" ht="299.25">
      <c r="A170" s="372" t="s">
        <v>778</v>
      </c>
      <c r="B170" s="372" t="s">
        <v>57</v>
      </c>
      <c r="C170" s="372" t="s">
        <v>197</v>
      </c>
      <c r="D170" s="372" t="s">
        <v>198</v>
      </c>
      <c r="E170" s="372" t="s">
        <v>307</v>
      </c>
      <c r="F170" s="373"/>
      <c r="G170" s="197">
        <v>2317.6734999999999</v>
      </c>
      <c r="H170" s="197">
        <v>2390.2849999999999</v>
      </c>
      <c r="I170" s="197">
        <v>2505.3609999999999</v>
      </c>
    </row>
    <row r="171" spans="1:9" ht="63">
      <c r="A171" s="372" t="s">
        <v>755</v>
      </c>
      <c r="B171" s="372" t="s">
        <v>57</v>
      </c>
      <c r="C171" s="372" t="s">
        <v>197</v>
      </c>
      <c r="D171" s="372" t="s">
        <v>198</v>
      </c>
      <c r="E171" s="372" t="s">
        <v>307</v>
      </c>
      <c r="F171" s="372" t="s">
        <v>268</v>
      </c>
      <c r="G171" s="197">
        <v>2317.6734999999999</v>
      </c>
      <c r="H171" s="197">
        <v>2390.2849999999999</v>
      </c>
      <c r="I171" s="197">
        <v>2505.3609999999999</v>
      </c>
    </row>
    <row r="172" spans="1:9" ht="63">
      <c r="A172" s="372" t="s">
        <v>1110</v>
      </c>
      <c r="B172" s="372" t="s">
        <v>57</v>
      </c>
      <c r="C172" s="372" t="s">
        <v>197</v>
      </c>
      <c r="D172" s="372" t="s">
        <v>198</v>
      </c>
      <c r="E172" s="372" t="s">
        <v>321</v>
      </c>
      <c r="F172" s="373"/>
      <c r="G172" s="197">
        <v>7599.3049000000001</v>
      </c>
      <c r="H172" s="197">
        <v>3205.3645299999998</v>
      </c>
      <c r="I172" s="197">
        <v>2995.3651799999998</v>
      </c>
    </row>
    <row r="173" spans="1:9" ht="47.25">
      <c r="A173" s="372" t="s">
        <v>1454</v>
      </c>
      <c r="B173" s="372" t="s">
        <v>57</v>
      </c>
      <c r="C173" s="372" t="s">
        <v>197</v>
      </c>
      <c r="D173" s="372" t="s">
        <v>198</v>
      </c>
      <c r="E173" s="372" t="s">
        <v>322</v>
      </c>
      <c r="F173" s="373"/>
      <c r="G173" s="197">
        <v>4966.2829000000002</v>
      </c>
      <c r="H173" s="197">
        <v>2231.3645299999998</v>
      </c>
      <c r="I173" s="197">
        <v>2021.36518</v>
      </c>
    </row>
    <row r="174" spans="1:9" ht="63">
      <c r="A174" s="372" t="s">
        <v>1185</v>
      </c>
      <c r="B174" s="372" t="s">
        <v>57</v>
      </c>
      <c r="C174" s="372" t="s">
        <v>197</v>
      </c>
      <c r="D174" s="372" t="s">
        <v>198</v>
      </c>
      <c r="E174" s="372" t="s">
        <v>1261</v>
      </c>
      <c r="F174" s="373"/>
      <c r="G174" s="197">
        <v>3674.9769000000001</v>
      </c>
      <c r="H174" s="197">
        <v>0</v>
      </c>
      <c r="I174" s="197">
        <v>0</v>
      </c>
    </row>
    <row r="175" spans="1:9" ht="63">
      <c r="A175" s="372" t="s">
        <v>755</v>
      </c>
      <c r="B175" s="372" t="s">
        <v>57</v>
      </c>
      <c r="C175" s="372" t="s">
        <v>197</v>
      </c>
      <c r="D175" s="372" t="s">
        <v>198</v>
      </c>
      <c r="E175" s="372" t="s">
        <v>1261</v>
      </c>
      <c r="F175" s="372" t="s">
        <v>268</v>
      </c>
      <c r="G175" s="197">
        <v>3674.9769000000001</v>
      </c>
      <c r="H175" s="197">
        <v>0</v>
      </c>
      <c r="I175" s="197">
        <v>0</v>
      </c>
    </row>
    <row r="176" spans="1:9" ht="47.25">
      <c r="A176" s="372" t="s">
        <v>1116</v>
      </c>
      <c r="B176" s="372" t="s">
        <v>57</v>
      </c>
      <c r="C176" s="372" t="s">
        <v>197</v>
      </c>
      <c r="D176" s="372" t="s">
        <v>198</v>
      </c>
      <c r="E176" s="372" t="s">
        <v>323</v>
      </c>
      <c r="F176" s="373"/>
      <c r="G176" s="197">
        <v>892.88599999999997</v>
      </c>
      <c r="H176" s="197">
        <v>2231.3645299999998</v>
      </c>
      <c r="I176" s="197">
        <v>2021.36518</v>
      </c>
    </row>
    <row r="177" spans="1:9" ht="63">
      <c r="A177" s="372" t="s">
        <v>755</v>
      </c>
      <c r="B177" s="372" t="s">
        <v>57</v>
      </c>
      <c r="C177" s="372" t="s">
        <v>197</v>
      </c>
      <c r="D177" s="372" t="s">
        <v>198</v>
      </c>
      <c r="E177" s="372" t="s">
        <v>323</v>
      </c>
      <c r="F177" s="372" t="s">
        <v>268</v>
      </c>
      <c r="G177" s="197">
        <v>892.88599999999997</v>
      </c>
      <c r="H177" s="197">
        <v>2231.3645299999998</v>
      </c>
      <c r="I177" s="197">
        <v>2021.36518</v>
      </c>
    </row>
    <row r="178" spans="1:9" ht="110.25">
      <c r="A178" s="372" t="s">
        <v>1383</v>
      </c>
      <c r="B178" s="372" t="s">
        <v>57</v>
      </c>
      <c r="C178" s="372" t="s">
        <v>197</v>
      </c>
      <c r="D178" s="372" t="s">
        <v>198</v>
      </c>
      <c r="E178" s="372" t="s">
        <v>1380</v>
      </c>
      <c r="F178" s="373"/>
      <c r="G178" s="197">
        <v>398.42</v>
      </c>
      <c r="H178" s="197">
        <v>0</v>
      </c>
      <c r="I178" s="197">
        <v>0</v>
      </c>
    </row>
    <row r="179" spans="1:9" ht="63">
      <c r="A179" s="372" t="s">
        <v>755</v>
      </c>
      <c r="B179" s="372" t="s">
        <v>57</v>
      </c>
      <c r="C179" s="372" t="s">
        <v>197</v>
      </c>
      <c r="D179" s="372" t="s">
        <v>198</v>
      </c>
      <c r="E179" s="372" t="s">
        <v>1380</v>
      </c>
      <c r="F179" s="372" t="s">
        <v>268</v>
      </c>
      <c r="G179" s="197">
        <v>398.42</v>
      </c>
      <c r="H179" s="197">
        <v>0</v>
      </c>
      <c r="I179" s="197">
        <v>0</v>
      </c>
    </row>
    <row r="180" spans="1:9" ht="63">
      <c r="A180" s="372" t="s">
        <v>1455</v>
      </c>
      <c r="B180" s="372" t="s">
        <v>57</v>
      </c>
      <c r="C180" s="372" t="s">
        <v>197</v>
      </c>
      <c r="D180" s="372" t="s">
        <v>198</v>
      </c>
      <c r="E180" s="372" t="s">
        <v>324</v>
      </c>
      <c r="F180" s="373"/>
      <c r="G180" s="197">
        <v>266</v>
      </c>
      <c r="H180" s="197">
        <v>290</v>
      </c>
      <c r="I180" s="197">
        <v>290</v>
      </c>
    </row>
    <row r="181" spans="1:9" ht="63">
      <c r="A181" s="372" t="s">
        <v>1182</v>
      </c>
      <c r="B181" s="372" t="s">
        <v>57</v>
      </c>
      <c r="C181" s="372" t="s">
        <v>197</v>
      </c>
      <c r="D181" s="372" t="s">
        <v>198</v>
      </c>
      <c r="E181" s="372" t="s">
        <v>1165</v>
      </c>
      <c r="F181" s="373"/>
      <c r="G181" s="197">
        <v>66</v>
      </c>
      <c r="H181" s="197">
        <v>90</v>
      </c>
      <c r="I181" s="197">
        <v>90</v>
      </c>
    </row>
    <row r="182" spans="1:9" ht="63">
      <c r="A182" s="372" t="s">
        <v>758</v>
      </c>
      <c r="B182" s="372" t="s">
        <v>57</v>
      </c>
      <c r="C182" s="372" t="s">
        <v>197</v>
      </c>
      <c r="D182" s="372" t="s">
        <v>198</v>
      </c>
      <c r="E182" s="372" t="s">
        <v>1165</v>
      </c>
      <c r="F182" s="372" t="s">
        <v>266</v>
      </c>
      <c r="G182" s="197">
        <v>66</v>
      </c>
      <c r="H182" s="197">
        <v>90</v>
      </c>
      <c r="I182" s="197">
        <v>90</v>
      </c>
    </row>
    <row r="183" spans="1:9" ht="63">
      <c r="A183" s="372" t="s">
        <v>1117</v>
      </c>
      <c r="B183" s="372" t="s">
        <v>57</v>
      </c>
      <c r="C183" s="372" t="s">
        <v>197</v>
      </c>
      <c r="D183" s="372" t="s">
        <v>198</v>
      </c>
      <c r="E183" s="372" t="s">
        <v>971</v>
      </c>
      <c r="F183" s="373"/>
      <c r="G183" s="197">
        <v>200</v>
      </c>
      <c r="H183" s="197">
        <v>200</v>
      </c>
      <c r="I183" s="197">
        <v>200</v>
      </c>
    </row>
    <row r="184" spans="1:9" ht="63">
      <c r="A184" s="372" t="s">
        <v>755</v>
      </c>
      <c r="B184" s="372" t="s">
        <v>57</v>
      </c>
      <c r="C184" s="372" t="s">
        <v>197</v>
      </c>
      <c r="D184" s="372" t="s">
        <v>198</v>
      </c>
      <c r="E184" s="372" t="s">
        <v>971</v>
      </c>
      <c r="F184" s="372" t="s">
        <v>268</v>
      </c>
      <c r="G184" s="197">
        <v>200</v>
      </c>
      <c r="H184" s="197">
        <v>200</v>
      </c>
      <c r="I184" s="197">
        <v>200</v>
      </c>
    </row>
    <row r="185" spans="1:9" ht="78.75">
      <c r="A185" s="372" t="s">
        <v>1459</v>
      </c>
      <c r="B185" s="372" t="s">
        <v>57</v>
      </c>
      <c r="C185" s="372" t="s">
        <v>197</v>
      </c>
      <c r="D185" s="372" t="s">
        <v>198</v>
      </c>
      <c r="E185" s="372" t="s">
        <v>849</v>
      </c>
      <c r="F185" s="373"/>
      <c r="G185" s="197">
        <v>2367.0219999999999</v>
      </c>
      <c r="H185" s="197">
        <v>684</v>
      </c>
      <c r="I185" s="197">
        <v>684</v>
      </c>
    </row>
    <row r="186" spans="1:9" ht="78.75">
      <c r="A186" s="372" t="s">
        <v>859</v>
      </c>
      <c r="B186" s="372" t="s">
        <v>57</v>
      </c>
      <c r="C186" s="372" t="s">
        <v>197</v>
      </c>
      <c r="D186" s="372" t="s">
        <v>198</v>
      </c>
      <c r="E186" s="372" t="s">
        <v>851</v>
      </c>
      <c r="F186" s="373"/>
      <c r="G186" s="197">
        <v>2367.0219999999999</v>
      </c>
      <c r="H186" s="197">
        <v>684</v>
      </c>
      <c r="I186" s="197">
        <v>684</v>
      </c>
    </row>
    <row r="187" spans="1:9" ht="63">
      <c r="A187" s="372" t="s">
        <v>755</v>
      </c>
      <c r="B187" s="372" t="s">
        <v>57</v>
      </c>
      <c r="C187" s="372" t="s">
        <v>197</v>
      </c>
      <c r="D187" s="372" t="s">
        <v>198</v>
      </c>
      <c r="E187" s="372" t="s">
        <v>851</v>
      </c>
      <c r="F187" s="372" t="s">
        <v>268</v>
      </c>
      <c r="G187" s="197">
        <v>2367.0219999999999</v>
      </c>
      <c r="H187" s="197">
        <v>684</v>
      </c>
      <c r="I187" s="197">
        <v>684</v>
      </c>
    </row>
    <row r="188" spans="1:9" ht="47.25">
      <c r="A188" s="372" t="s">
        <v>1273</v>
      </c>
      <c r="B188" s="372" t="s">
        <v>57</v>
      </c>
      <c r="C188" s="372" t="s">
        <v>197</v>
      </c>
      <c r="D188" s="372" t="s">
        <v>198</v>
      </c>
      <c r="E188" s="372" t="s">
        <v>1266</v>
      </c>
      <c r="F188" s="373"/>
      <c r="G188" s="197">
        <v>1473.6842099999999</v>
      </c>
      <c r="H188" s="197">
        <v>0</v>
      </c>
      <c r="I188" s="197">
        <v>0</v>
      </c>
    </row>
    <row r="189" spans="1:9" ht="31.5">
      <c r="A189" s="372" t="s">
        <v>509</v>
      </c>
      <c r="B189" s="372" t="s">
        <v>57</v>
      </c>
      <c r="C189" s="372" t="s">
        <v>197</v>
      </c>
      <c r="D189" s="372" t="s">
        <v>198</v>
      </c>
      <c r="E189" s="372" t="s">
        <v>1267</v>
      </c>
      <c r="F189" s="373"/>
      <c r="G189" s="197">
        <v>1473.6842099999999</v>
      </c>
      <c r="H189" s="197">
        <v>0</v>
      </c>
      <c r="I189" s="197">
        <v>0</v>
      </c>
    </row>
    <row r="190" spans="1:9" ht="31.5">
      <c r="A190" s="372" t="s">
        <v>1441</v>
      </c>
      <c r="B190" s="372" t="s">
        <v>57</v>
      </c>
      <c r="C190" s="372" t="s">
        <v>197</v>
      </c>
      <c r="D190" s="372" t="s">
        <v>198</v>
      </c>
      <c r="E190" s="372" t="s">
        <v>1267</v>
      </c>
      <c r="F190" s="373"/>
      <c r="G190" s="197">
        <v>1473.6842099999999</v>
      </c>
      <c r="H190" s="197">
        <v>0</v>
      </c>
      <c r="I190" s="197">
        <v>0</v>
      </c>
    </row>
    <row r="191" spans="1:9" ht="47.25">
      <c r="A191" s="372" t="s">
        <v>1274</v>
      </c>
      <c r="B191" s="372" t="s">
        <v>57</v>
      </c>
      <c r="C191" s="372" t="s">
        <v>197</v>
      </c>
      <c r="D191" s="372" t="s">
        <v>198</v>
      </c>
      <c r="E191" s="372" t="s">
        <v>1269</v>
      </c>
      <c r="F191" s="373"/>
      <c r="G191" s="197">
        <v>1473.6842099999999</v>
      </c>
      <c r="H191" s="197">
        <v>0</v>
      </c>
      <c r="I191" s="197">
        <v>0</v>
      </c>
    </row>
    <row r="192" spans="1:9" ht="63">
      <c r="A192" s="372" t="s">
        <v>755</v>
      </c>
      <c r="B192" s="372" t="s">
        <v>57</v>
      </c>
      <c r="C192" s="372" t="s">
        <v>197</v>
      </c>
      <c r="D192" s="372" t="s">
        <v>198</v>
      </c>
      <c r="E192" s="372" t="s">
        <v>1269</v>
      </c>
      <c r="F192" s="372" t="s">
        <v>268</v>
      </c>
      <c r="G192" s="197">
        <v>1473.6842099999999</v>
      </c>
      <c r="H192" s="197">
        <v>0</v>
      </c>
      <c r="I192" s="197">
        <v>0</v>
      </c>
    </row>
    <row r="193" spans="1:9" ht="63">
      <c r="A193" s="372" t="s">
        <v>524</v>
      </c>
      <c r="B193" s="372" t="s">
        <v>57</v>
      </c>
      <c r="C193" s="372" t="s">
        <v>197</v>
      </c>
      <c r="D193" s="372" t="s">
        <v>198</v>
      </c>
      <c r="E193" s="372" t="s">
        <v>444</v>
      </c>
      <c r="F193" s="373"/>
      <c r="G193" s="197">
        <v>710.52452000000005</v>
      </c>
      <c r="H193" s="197">
        <v>0</v>
      </c>
      <c r="I193" s="197">
        <v>0</v>
      </c>
    </row>
    <row r="194" spans="1:9" ht="31.5">
      <c r="A194" s="372" t="s">
        <v>509</v>
      </c>
      <c r="B194" s="372" t="s">
        <v>57</v>
      </c>
      <c r="C194" s="372" t="s">
        <v>197</v>
      </c>
      <c r="D194" s="372" t="s">
        <v>198</v>
      </c>
      <c r="E194" s="372" t="s">
        <v>445</v>
      </c>
      <c r="F194" s="373"/>
      <c r="G194" s="197">
        <v>710.52452000000005</v>
      </c>
      <c r="H194" s="197">
        <v>0</v>
      </c>
      <c r="I194" s="197">
        <v>0</v>
      </c>
    </row>
    <row r="195" spans="1:9" ht="31.5">
      <c r="A195" s="372" t="s">
        <v>1441</v>
      </c>
      <c r="B195" s="372" t="s">
        <v>57</v>
      </c>
      <c r="C195" s="372" t="s">
        <v>197</v>
      </c>
      <c r="D195" s="372" t="s">
        <v>198</v>
      </c>
      <c r="E195" s="372" t="s">
        <v>445</v>
      </c>
      <c r="F195" s="373"/>
      <c r="G195" s="197">
        <v>710.52452000000005</v>
      </c>
      <c r="H195" s="197">
        <v>0</v>
      </c>
      <c r="I195" s="197">
        <v>0</v>
      </c>
    </row>
    <row r="196" spans="1:9" ht="31.5">
      <c r="A196" s="372" t="s">
        <v>1186</v>
      </c>
      <c r="B196" s="372" t="s">
        <v>57</v>
      </c>
      <c r="C196" s="372" t="s">
        <v>197</v>
      </c>
      <c r="D196" s="372" t="s">
        <v>198</v>
      </c>
      <c r="E196" s="372" t="s">
        <v>1181</v>
      </c>
      <c r="F196" s="373"/>
      <c r="G196" s="197">
        <v>659.52452000000005</v>
      </c>
      <c r="H196" s="197">
        <v>0</v>
      </c>
      <c r="I196" s="197">
        <v>0</v>
      </c>
    </row>
    <row r="197" spans="1:9" ht="63">
      <c r="A197" s="372" t="s">
        <v>755</v>
      </c>
      <c r="B197" s="372" t="s">
        <v>57</v>
      </c>
      <c r="C197" s="372" t="s">
        <v>197</v>
      </c>
      <c r="D197" s="372" t="s">
        <v>198</v>
      </c>
      <c r="E197" s="372" t="s">
        <v>1181</v>
      </c>
      <c r="F197" s="372" t="s">
        <v>268</v>
      </c>
      <c r="G197" s="197">
        <v>659.52452000000005</v>
      </c>
      <c r="H197" s="197">
        <v>0</v>
      </c>
      <c r="I197" s="197">
        <v>0</v>
      </c>
    </row>
    <row r="198" spans="1:9" ht="47.25">
      <c r="A198" s="372" t="s">
        <v>1272</v>
      </c>
      <c r="B198" s="372" t="s">
        <v>57</v>
      </c>
      <c r="C198" s="372" t="s">
        <v>197</v>
      </c>
      <c r="D198" s="372" t="s">
        <v>198</v>
      </c>
      <c r="E198" s="372" t="s">
        <v>1271</v>
      </c>
      <c r="F198" s="373"/>
      <c r="G198" s="197">
        <v>51</v>
      </c>
      <c r="H198" s="197">
        <v>0</v>
      </c>
      <c r="I198" s="197">
        <v>0</v>
      </c>
    </row>
    <row r="199" spans="1:9" ht="63">
      <c r="A199" s="372" t="s">
        <v>755</v>
      </c>
      <c r="B199" s="372" t="s">
        <v>57</v>
      </c>
      <c r="C199" s="372" t="s">
        <v>197</v>
      </c>
      <c r="D199" s="372" t="s">
        <v>198</v>
      </c>
      <c r="E199" s="372" t="s">
        <v>1271</v>
      </c>
      <c r="F199" s="372" t="s">
        <v>268</v>
      </c>
      <c r="G199" s="197">
        <v>51</v>
      </c>
      <c r="H199" s="197">
        <v>0</v>
      </c>
      <c r="I199" s="197">
        <v>0</v>
      </c>
    </row>
    <row r="200" spans="1:9" ht="31.5">
      <c r="A200" s="372" t="s">
        <v>476</v>
      </c>
      <c r="B200" s="372" t="s">
        <v>57</v>
      </c>
      <c r="C200" s="372" t="s">
        <v>197</v>
      </c>
      <c r="D200" s="372" t="s">
        <v>202</v>
      </c>
      <c r="E200" s="373"/>
      <c r="F200" s="373"/>
      <c r="G200" s="197">
        <v>20014.608789999998</v>
      </c>
      <c r="H200" s="197">
        <v>17222.165850000001</v>
      </c>
      <c r="I200" s="197">
        <v>17282.165850000001</v>
      </c>
    </row>
    <row r="201" spans="1:9" ht="63">
      <c r="A201" s="372" t="s">
        <v>477</v>
      </c>
      <c r="B201" s="372" t="s">
        <v>57</v>
      </c>
      <c r="C201" s="372" t="s">
        <v>197</v>
      </c>
      <c r="D201" s="372" t="s">
        <v>202</v>
      </c>
      <c r="E201" s="372" t="s">
        <v>303</v>
      </c>
      <c r="F201" s="373"/>
      <c r="G201" s="197">
        <v>19721.905009999999</v>
      </c>
      <c r="H201" s="197">
        <v>17222.165850000001</v>
      </c>
      <c r="I201" s="197">
        <v>17282.165850000001</v>
      </c>
    </row>
    <row r="202" spans="1:9" ht="63">
      <c r="A202" s="372" t="s">
        <v>478</v>
      </c>
      <c r="B202" s="372" t="s">
        <v>57</v>
      </c>
      <c r="C202" s="372" t="s">
        <v>197</v>
      </c>
      <c r="D202" s="372" t="s">
        <v>202</v>
      </c>
      <c r="E202" s="372" t="s">
        <v>313</v>
      </c>
      <c r="F202" s="373"/>
      <c r="G202" s="197">
        <v>19457.105009999999</v>
      </c>
      <c r="H202" s="197">
        <v>16957.365849999998</v>
      </c>
      <c r="I202" s="197">
        <v>16957.365849999998</v>
      </c>
    </row>
    <row r="203" spans="1:9" ht="78.75">
      <c r="A203" s="372" t="s">
        <v>1109</v>
      </c>
      <c r="B203" s="372" t="s">
        <v>57</v>
      </c>
      <c r="C203" s="372" t="s">
        <v>197</v>
      </c>
      <c r="D203" s="372" t="s">
        <v>202</v>
      </c>
      <c r="E203" s="372" t="s">
        <v>314</v>
      </c>
      <c r="F203" s="373"/>
      <c r="G203" s="197">
        <v>18668.188630000001</v>
      </c>
      <c r="H203" s="197">
        <v>16957.365849999998</v>
      </c>
      <c r="I203" s="197">
        <v>16957.365849999998</v>
      </c>
    </row>
    <row r="204" spans="1:9" ht="47.25">
      <c r="A204" s="372" t="s">
        <v>880</v>
      </c>
      <c r="B204" s="372" t="s">
        <v>57</v>
      </c>
      <c r="C204" s="372" t="s">
        <v>197</v>
      </c>
      <c r="D204" s="372" t="s">
        <v>202</v>
      </c>
      <c r="E204" s="372" t="s">
        <v>872</v>
      </c>
      <c r="F204" s="373"/>
      <c r="G204" s="197">
        <v>1506.027</v>
      </c>
      <c r="H204" s="197">
        <v>1573.4690000000001</v>
      </c>
      <c r="I204" s="197">
        <v>1573.4690000000001</v>
      </c>
    </row>
    <row r="205" spans="1:9" ht="63">
      <c r="A205" s="372" t="s">
        <v>755</v>
      </c>
      <c r="B205" s="372" t="s">
        <v>57</v>
      </c>
      <c r="C205" s="372" t="s">
        <v>197</v>
      </c>
      <c r="D205" s="372" t="s">
        <v>202</v>
      </c>
      <c r="E205" s="372" t="s">
        <v>872</v>
      </c>
      <c r="F205" s="372" t="s">
        <v>268</v>
      </c>
      <c r="G205" s="197">
        <v>1506.027</v>
      </c>
      <c r="H205" s="197">
        <v>1573.4690000000001</v>
      </c>
      <c r="I205" s="197">
        <v>1573.4690000000001</v>
      </c>
    </row>
    <row r="206" spans="1:9" ht="78.75">
      <c r="A206" s="372" t="s">
        <v>780</v>
      </c>
      <c r="B206" s="372" t="s">
        <v>57</v>
      </c>
      <c r="C206" s="372" t="s">
        <v>197</v>
      </c>
      <c r="D206" s="372" t="s">
        <v>202</v>
      </c>
      <c r="E206" s="372" t="s">
        <v>315</v>
      </c>
      <c r="F206" s="373"/>
      <c r="G206" s="197">
        <v>17162.161629999999</v>
      </c>
      <c r="H206" s="197">
        <v>15383.896849999999</v>
      </c>
      <c r="I206" s="197">
        <v>15383.896849999999</v>
      </c>
    </row>
    <row r="207" spans="1:9" ht="63">
      <c r="A207" s="372" t="s">
        <v>755</v>
      </c>
      <c r="B207" s="372" t="s">
        <v>57</v>
      </c>
      <c r="C207" s="372" t="s">
        <v>197</v>
      </c>
      <c r="D207" s="372" t="s">
        <v>202</v>
      </c>
      <c r="E207" s="372" t="s">
        <v>315</v>
      </c>
      <c r="F207" s="372" t="s">
        <v>268</v>
      </c>
      <c r="G207" s="197">
        <v>17162.161629999999</v>
      </c>
      <c r="H207" s="197">
        <v>15383.896849999999</v>
      </c>
      <c r="I207" s="197">
        <v>15383.896849999999</v>
      </c>
    </row>
    <row r="208" spans="1:9" ht="94.5">
      <c r="A208" s="372" t="s">
        <v>1453</v>
      </c>
      <c r="B208" s="372" t="s">
        <v>57</v>
      </c>
      <c r="C208" s="372" t="s">
        <v>197</v>
      </c>
      <c r="D208" s="372" t="s">
        <v>202</v>
      </c>
      <c r="E208" s="372" t="s">
        <v>316</v>
      </c>
      <c r="F208" s="373"/>
      <c r="G208" s="197">
        <v>788.91638</v>
      </c>
      <c r="H208" s="197">
        <v>0</v>
      </c>
      <c r="I208" s="197">
        <v>0</v>
      </c>
    </row>
    <row r="209" spans="1:9" ht="126">
      <c r="A209" s="372" t="s">
        <v>1118</v>
      </c>
      <c r="B209" s="372" t="s">
        <v>57</v>
      </c>
      <c r="C209" s="372" t="s">
        <v>197</v>
      </c>
      <c r="D209" s="372" t="s">
        <v>202</v>
      </c>
      <c r="E209" s="372" t="s">
        <v>956</v>
      </c>
      <c r="F209" s="373"/>
      <c r="G209" s="197">
        <v>788.91638</v>
      </c>
      <c r="H209" s="197">
        <v>0</v>
      </c>
      <c r="I209" s="197">
        <v>0</v>
      </c>
    </row>
    <row r="210" spans="1:9" ht="63">
      <c r="A210" s="372" t="s">
        <v>755</v>
      </c>
      <c r="B210" s="372" t="s">
        <v>57</v>
      </c>
      <c r="C210" s="372" t="s">
        <v>197</v>
      </c>
      <c r="D210" s="372" t="s">
        <v>202</v>
      </c>
      <c r="E210" s="372" t="s">
        <v>956</v>
      </c>
      <c r="F210" s="372" t="s">
        <v>268</v>
      </c>
      <c r="G210" s="197">
        <v>788.91638</v>
      </c>
      <c r="H210" s="197">
        <v>0</v>
      </c>
      <c r="I210" s="197">
        <v>0</v>
      </c>
    </row>
    <row r="211" spans="1:9" ht="63">
      <c r="A211" s="372" t="s">
        <v>1110</v>
      </c>
      <c r="B211" s="372" t="s">
        <v>57</v>
      </c>
      <c r="C211" s="372" t="s">
        <v>197</v>
      </c>
      <c r="D211" s="372" t="s">
        <v>202</v>
      </c>
      <c r="E211" s="372" t="s">
        <v>321</v>
      </c>
      <c r="F211" s="373"/>
      <c r="G211" s="197">
        <v>264.8</v>
      </c>
      <c r="H211" s="197">
        <v>264.8</v>
      </c>
      <c r="I211" s="197">
        <v>324.8</v>
      </c>
    </row>
    <row r="212" spans="1:9" ht="47.25">
      <c r="A212" s="372" t="s">
        <v>1454</v>
      </c>
      <c r="B212" s="372" t="s">
        <v>57</v>
      </c>
      <c r="C212" s="372" t="s">
        <v>197</v>
      </c>
      <c r="D212" s="372" t="s">
        <v>202</v>
      </c>
      <c r="E212" s="372" t="s">
        <v>322</v>
      </c>
      <c r="F212" s="373"/>
      <c r="G212" s="197">
        <v>64.8</v>
      </c>
      <c r="H212" s="197">
        <v>64.8</v>
      </c>
      <c r="I212" s="197">
        <v>124.8</v>
      </c>
    </row>
    <row r="213" spans="1:9" ht="47.25">
      <c r="A213" s="372" t="s">
        <v>1116</v>
      </c>
      <c r="B213" s="372" t="s">
        <v>57</v>
      </c>
      <c r="C213" s="372" t="s">
        <v>197</v>
      </c>
      <c r="D213" s="372" t="s">
        <v>202</v>
      </c>
      <c r="E213" s="372" t="s">
        <v>323</v>
      </c>
      <c r="F213" s="373"/>
      <c r="G213" s="197">
        <v>64.8</v>
      </c>
      <c r="H213" s="197">
        <v>64.8</v>
      </c>
      <c r="I213" s="197">
        <v>124.8</v>
      </c>
    </row>
    <row r="214" spans="1:9" ht="63">
      <c r="A214" s="372" t="s">
        <v>755</v>
      </c>
      <c r="B214" s="372" t="s">
        <v>57</v>
      </c>
      <c r="C214" s="372" t="s">
        <v>197</v>
      </c>
      <c r="D214" s="372" t="s">
        <v>202</v>
      </c>
      <c r="E214" s="372" t="s">
        <v>323</v>
      </c>
      <c r="F214" s="372" t="s">
        <v>268</v>
      </c>
      <c r="G214" s="197">
        <v>64.8</v>
      </c>
      <c r="H214" s="197">
        <v>64.8</v>
      </c>
      <c r="I214" s="197">
        <v>124.8</v>
      </c>
    </row>
    <row r="215" spans="1:9" ht="63">
      <c r="A215" s="372" t="s">
        <v>1455</v>
      </c>
      <c r="B215" s="372" t="s">
        <v>57</v>
      </c>
      <c r="C215" s="372" t="s">
        <v>197</v>
      </c>
      <c r="D215" s="372" t="s">
        <v>202</v>
      </c>
      <c r="E215" s="372" t="s">
        <v>324</v>
      </c>
      <c r="F215" s="373"/>
      <c r="G215" s="197">
        <v>200</v>
      </c>
      <c r="H215" s="197">
        <v>200</v>
      </c>
      <c r="I215" s="197">
        <v>200</v>
      </c>
    </row>
    <row r="216" spans="1:9" ht="47.25">
      <c r="A216" s="372" t="s">
        <v>781</v>
      </c>
      <c r="B216" s="372" t="s">
        <v>57</v>
      </c>
      <c r="C216" s="372" t="s">
        <v>197</v>
      </c>
      <c r="D216" s="372" t="s">
        <v>202</v>
      </c>
      <c r="E216" s="372" t="s">
        <v>972</v>
      </c>
      <c r="F216" s="373"/>
      <c r="G216" s="197">
        <v>200</v>
      </c>
      <c r="H216" s="197">
        <v>200</v>
      </c>
      <c r="I216" s="197">
        <v>200</v>
      </c>
    </row>
    <row r="217" spans="1:9" ht="63">
      <c r="A217" s="372" t="s">
        <v>755</v>
      </c>
      <c r="B217" s="372" t="s">
        <v>57</v>
      </c>
      <c r="C217" s="372" t="s">
        <v>197</v>
      </c>
      <c r="D217" s="372" t="s">
        <v>202</v>
      </c>
      <c r="E217" s="372" t="s">
        <v>972</v>
      </c>
      <c r="F217" s="372" t="s">
        <v>268</v>
      </c>
      <c r="G217" s="197">
        <v>200</v>
      </c>
      <c r="H217" s="197">
        <v>200</v>
      </c>
      <c r="I217" s="197">
        <v>200</v>
      </c>
    </row>
    <row r="218" spans="1:9" ht="47.25">
      <c r="A218" s="372" t="s">
        <v>1273</v>
      </c>
      <c r="B218" s="372" t="s">
        <v>57</v>
      </c>
      <c r="C218" s="372" t="s">
        <v>197</v>
      </c>
      <c r="D218" s="372" t="s">
        <v>202</v>
      </c>
      <c r="E218" s="372" t="s">
        <v>1266</v>
      </c>
      <c r="F218" s="373"/>
      <c r="G218" s="197">
        <v>210.52632</v>
      </c>
      <c r="H218" s="197">
        <v>0</v>
      </c>
      <c r="I218" s="197">
        <v>0</v>
      </c>
    </row>
    <row r="219" spans="1:9" ht="31.5">
      <c r="A219" s="372" t="s">
        <v>509</v>
      </c>
      <c r="B219" s="372" t="s">
        <v>57</v>
      </c>
      <c r="C219" s="372" t="s">
        <v>197</v>
      </c>
      <c r="D219" s="372" t="s">
        <v>202</v>
      </c>
      <c r="E219" s="372" t="s">
        <v>1267</v>
      </c>
      <c r="F219" s="373"/>
      <c r="G219" s="197">
        <v>210.52632</v>
      </c>
      <c r="H219" s="197">
        <v>0</v>
      </c>
      <c r="I219" s="197">
        <v>0</v>
      </c>
    </row>
    <row r="220" spans="1:9" ht="31.5">
      <c r="A220" s="372" t="s">
        <v>1441</v>
      </c>
      <c r="B220" s="372" t="s">
        <v>57</v>
      </c>
      <c r="C220" s="372" t="s">
        <v>197</v>
      </c>
      <c r="D220" s="372" t="s">
        <v>202</v>
      </c>
      <c r="E220" s="372" t="s">
        <v>1267</v>
      </c>
      <c r="F220" s="373"/>
      <c r="G220" s="197">
        <v>210.52632</v>
      </c>
      <c r="H220" s="197">
        <v>0</v>
      </c>
      <c r="I220" s="197">
        <v>0</v>
      </c>
    </row>
    <row r="221" spans="1:9" ht="47.25">
      <c r="A221" s="372" t="s">
        <v>1274</v>
      </c>
      <c r="B221" s="372" t="s">
        <v>57</v>
      </c>
      <c r="C221" s="372" t="s">
        <v>197</v>
      </c>
      <c r="D221" s="372" t="s">
        <v>202</v>
      </c>
      <c r="E221" s="372" t="s">
        <v>1269</v>
      </c>
      <c r="F221" s="373"/>
      <c r="G221" s="197">
        <v>210.52632</v>
      </c>
      <c r="H221" s="197">
        <v>0</v>
      </c>
      <c r="I221" s="197">
        <v>0</v>
      </c>
    </row>
    <row r="222" spans="1:9" ht="63">
      <c r="A222" s="372" t="s">
        <v>755</v>
      </c>
      <c r="B222" s="372" t="s">
        <v>57</v>
      </c>
      <c r="C222" s="372" t="s">
        <v>197</v>
      </c>
      <c r="D222" s="372" t="s">
        <v>202</v>
      </c>
      <c r="E222" s="372" t="s">
        <v>1269</v>
      </c>
      <c r="F222" s="372" t="s">
        <v>268</v>
      </c>
      <c r="G222" s="197">
        <v>210.52632</v>
      </c>
      <c r="H222" s="197">
        <v>0</v>
      </c>
      <c r="I222" s="197">
        <v>0</v>
      </c>
    </row>
    <row r="223" spans="1:9" ht="63">
      <c r="A223" s="372" t="s">
        <v>524</v>
      </c>
      <c r="B223" s="372" t="s">
        <v>57</v>
      </c>
      <c r="C223" s="372" t="s">
        <v>197</v>
      </c>
      <c r="D223" s="372" t="s">
        <v>202</v>
      </c>
      <c r="E223" s="372" t="s">
        <v>444</v>
      </c>
      <c r="F223" s="373"/>
      <c r="G223" s="197">
        <v>82.177459999999996</v>
      </c>
      <c r="H223" s="197">
        <v>0</v>
      </c>
      <c r="I223" s="197">
        <v>0</v>
      </c>
    </row>
    <row r="224" spans="1:9" ht="31.5">
      <c r="A224" s="372" t="s">
        <v>509</v>
      </c>
      <c r="B224" s="372" t="s">
        <v>57</v>
      </c>
      <c r="C224" s="372" t="s">
        <v>197</v>
      </c>
      <c r="D224" s="372" t="s">
        <v>202</v>
      </c>
      <c r="E224" s="372" t="s">
        <v>445</v>
      </c>
      <c r="F224" s="373"/>
      <c r="G224" s="197">
        <v>82.177459999999996</v>
      </c>
      <c r="H224" s="197">
        <v>0</v>
      </c>
      <c r="I224" s="197">
        <v>0</v>
      </c>
    </row>
    <row r="225" spans="1:9" ht="31.5">
      <c r="A225" s="372" t="s">
        <v>1441</v>
      </c>
      <c r="B225" s="372" t="s">
        <v>57</v>
      </c>
      <c r="C225" s="372" t="s">
        <v>197</v>
      </c>
      <c r="D225" s="372" t="s">
        <v>202</v>
      </c>
      <c r="E225" s="372" t="s">
        <v>445</v>
      </c>
      <c r="F225" s="373"/>
      <c r="G225" s="197">
        <v>82.177459999999996</v>
      </c>
      <c r="H225" s="197">
        <v>0</v>
      </c>
      <c r="I225" s="197">
        <v>0</v>
      </c>
    </row>
    <row r="226" spans="1:9" ht="31.5">
      <c r="A226" s="372" t="s">
        <v>1186</v>
      </c>
      <c r="B226" s="372" t="s">
        <v>57</v>
      </c>
      <c r="C226" s="372" t="s">
        <v>197</v>
      </c>
      <c r="D226" s="372" t="s">
        <v>202</v>
      </c>
      <c r="E226" s="372" t="s">
        <v>1181</v>
      </c>
      <c r="F226" s="373"/>
      <c r="G226" s="197">
        <v>73.177459999999996</v>
      </c>
      <c r="H226" s="197">
        <v>0</v>
      </c>
      <c r="I226" s="197">
        <v>0</v>
      </c>
    </row>
    <row r="227" spans="1:9" ht="63">
      <c r="A227" s="372" t="s">
        <v>755</v>
      </c>
      <c r="B227" s="372" t="s">
        <v>57</v>
      </c>
      <c r="C227" s="372" t="s">
        <v>197</v>
      </c>
      <c r="D227" s="372" t="s">
        <v>202</v>
      </c>
      <c r="E227" s="372" t="s">
        <v>1181</v>
      </c>
      <c r="F227" s="372" t="s">
        <v>268</v>
      </c>
      <c r="G227" s="197">
        <v>73.177459999999996</v>
      </c>
      <c r="H227" s="197">
        <v>0</v>
      </c>
      <c r="I227" s="197">
        <v>0</v>
      </c>
    </row>
    <row r="228" spans="1:9" ht="47.25">
      <c r="A228" s="372" t="s">
        <v>1272</v>
      </c>
      <c r="B228" s="372" t="s">
        <v>57</v>
      </c>
      <c r="C228" s="372" t="s">
        <v>197</v>
      </c>
      <c r="D228" s="372" t="s">
        <v>202</v>
      </c>
      <c r="E228" s="372" t="s">
        <v>1271</v>
      </c>
      <c r="F228" s="373"/>
      <c r="G228" s="197">
        <v>9</v>
      </c>
      <c r="H228" s="197">
        <v>0</v>
      </c>
      <c r="I228" s="197">
        <v>0</v>
      </c>
    </row>
    <row r="229" spans="1:9" ht="63">
      <c r="A229" s="372" t="s">
        <v>755</v>
      </c>
      <c r="B229" s="372" t="s">
        <v>57</v>
      </c>
      <c r="C229" s="372" t="s">
        <v>197</v>
      </c>
      <c r="D229" s="372" t="s">
        <v>202</v>
      </c>
      <c r="E229" s="372" t="s">
        <v>1271</v>
      </c>
      <c r="F229" s="372" t="s">
        <v>268</v>
      </c>
      <c r="G229" s="197">
        <v>9</v>
      </c>
      <c r="H229" s="197">
        <v>0</v>
      </c>
      <c r="I229" s="197">
        <v>0</v>
      </c>
    </row>
    <row r="230" spans="1:9" ht="15.75">
      <c r="A230" s="372" t="s">
        <v>491</v>
      </c>
      <c r="B230" s="372" t="s">
        <v>57</v>
      </c>
      <c r="C230" s="372" t="s">
        <v>197</v>
      </c>
      <c r="D230" s="372" t="s">
        <v>197</v>
      </c>
      <c r="E230" s="373"/>
      <c r="F230" s="373"/>
      <c r="G230" s="197">
        <v>2193.8060799999998</v>
      </c>
      <c r="H230" s="197">
        <v>2059.9</v>
      </c>
      <c r="I230" s="197">
        <v>2059.9</v>
      </c>
    </row>
    <row r="231" spans="1:9" ht="78.75">
      <c r="A231" s="372" t="s">
        <v>1119</v>
      </c>
      <c r="B231" s="372" t="s">
        <v>57</v>
      </c>
      <c r="C231" s="372" t="s">
        <v>197</v>
      </c>
      <c r="D231" s="372" t="s">
        <v>197</v>
      </c>
      <c r="E231" s="372" t="s">
        <v>345</v>
      </c>
      <c r="F231" s="373"/>
      <c r="G231" s="197">
        <v>2193.8060799999998</v>
      </c>
      <c r="H231" s="197">
        <v>2059.9</v>
      </c>
      <c r="I231" s="197">
        <v>2059.9</v>
      </c>
    </row>
    <row r="232" spans="1:9" ht="31.5">
      <c r="A232" s="372" t="s">
        <v>479</v>
      </c>
      <c r="B232" s="372" t="s">
        <v>57</v>
      </c>
      <c r="C232" s="372" t="s">
        <v>197</v>
      </c>
      <c r="D232" s="372" t="s">
        <v>197</v>
      </c>
      <c r="E232" s="372" t="s">
        <v>348</v>
      </c>
      <c r="F232" s="373"/>
      <c r="G232" s="197">
        <v>2193.8060799999998</v>
      </c>
      <c r="H232" s="197">
        <v>2059.9</v>
      </c>
      <c r="I232" s="197">
        <v>2059.9</v>
      </c>
    </row>
    <row r="233" spans="1:9" ht="31.5">
      <c r="A233" s="372" t="s">
        <v>762</v>
      </c>
      <c r="B233" s="372" t="s">
        <v>57</v>
      </c>
      <c r="C233" s="372" t="s">
        <v>197</v>
      </c>
      <c r="D233" s="372" t="s">
        <v>197</v>
      </c>
      <c r="E233" s="372" t="s">
        <v>1007</v>
      </c>
      <c r="F233" s="373"/>
      <c r="G233" s="197">
        <v>2193.8060799999998</v>
      </c>
      <c r="H233" s="197">
        <v>2059.9</v>
      </c>
      <c r="I233" s="197">
        <v>2059.9</v>
      </c>
    </row>
    <row r="234" spans="1:9" ht="94.5">
      <c r="A234" s="372" t="s">
        <v>783</v>
      </c>
      <c r="B234" s="372" t="s">
        <v>57</v>
      </c>
      <c r="C234" s="372" t="s">
        <v>197</v>
      </c>
      <c r="D234" s="372" t="s">
        <v>197</v>
      </c>
      <c r="E234" s="372" t="s">
        <v>1012</v>
      </c>
      <c r="F234" s="373"/>
      <c r="G234" s="197">
        <v>168</v>
      </c>
      <c r="H234" s="197">
        <v>168</v>
      </c>
      <c r="I234" s="197">
        <v>168</v>
      </c>
    </row>
    <row r="235" spans="1:9" ht="63">
      <c r="A235" s="372" t="s">
        <v>755</v>
      </c>
      <c r="B235" s="372" t="s">
        <v>57</v>
      </c>
      <c r="C235" s="372" t="s">
        <v>197</v>
      </c>
      <c r="D235" s="372" t="s">
        <v>197</v>
      </c>
      <c r="E235" s="372" t="s">
        <v>1012</v>
      </c>
      <c r="F235" s="372" t="s">
        <v>268</v>
      </c>
      <c r="G235" s="197">
        <v>168</v>
      </c>
      <c r="H235" s="197">
        <v>168</v>
      </c>
      <c r="I235" s="197">
        <v>168</v>
      </c>
    </row>
    <row r="236" spans="1:9" ht="63">
      <c r="A236" s="372" t="s">
        <v>919</v>
      </c>
      <c r="B236" s="372" t="s">
        <v>57</v>
      </c>
      <c r="C236" s="372" t="s">
        <v>197</v>
      </c>
      <c r="D236" s="372" t="s">
        <v>197</v>
      </c>
      <c r="E236" s="372" t="s">
        <v>1013</v>
      </c>
      <c r="F236" s="373"/>
      <c r="G236" s="197">
        <v>2025.8060800000001</v>
      </c>
      <c r="H236" s="197">
        <v>1891.9</v>
      </c>
      <c r="I236" s="197">
        <v>1891.9</v>
      </c>
    </row>
    <row r="237" spans="1:9" ht="63">
      <c r="A237" s="372" t="s">
        <v>755</v>
      </c>
      <c r="B237" s="372" t="s">
        <v>57</v>
      </c>
      <c r="C237" s="372" t="s">
        <v>197</v>
      </c>
      <c r="D237" s="372" t="s">
        <v>197</v>
      </c>
      <c r="E237" s="372" t="s">
        <v>1013</v>
      </c>
      <c r="F237" s="372" t="s">
        <v>268</v>
      </c>
      <c r="G237" s="197">
        <v>2025.8060800000001</v>
      </c>
      <c r="H237" s="197">
        <v>1891.9</v>
      </c>
      <c r="I237" s="197">
        <v>1891.9</v>
      </c>
    </row>
    <row r="238" spans="1:9" ht="31.5">
      <c r="A238" s="372" t="s">
        <v>492</v>
      </c>
      <c r="B238" s="372" t="s">
        <v>57</v>
      </c>
      <c r="C238" s="372" t="s">
        <v>197</v>
      </c>
      <c r="D238" s="372" t="s">
        <v>201</v>
      </c>
      <c r="E238" s="373"/>
      <c r="F238" s="373"/>
      <c r="G238" s="197">
        <v>22886.815500000001</v>
      </c>
      <c r="H238" s="197">
        <v>22870.934519999999</v>
      </c>
      <c r="I238" s="197">
        <v>22870.934519999999</v>
      </c>
    </row>
    <row r="239" spans="1:9" ht="63">
      <c r="A239" s="372" t="s">
        <v>477</v>
      </c>
      <c r="B239" s="372" t="s">
        <v>57</v>
      </c>
      <c r="C239" s="372" t="s">
        <v>197</v>
      </c>
      <c r="D239" s="372" t="s">
        <v>201</v>
      </c>
      <c r="E239" s="372" t="s">
        <v>303</v>
      </c>
      <c r="F239" s="373"/>
      <c r="G239" s="197">
        <v>22660.348999999998</v>
      </c>
      <c r="H239" s="197">
        <v>22740.934519999999</v>
      </c>
      <c r="I239" s="197">
        <v>22740.934519999999</v>
      </c>
    </row>
    <row r="240" spans="1:9" ht="94.5">
      <c r="A240" s="372" t="s">
        <v>1120</v>
      </c>
      <c r="B240" s="372" t="s">
        <v>57</v>
      </c>
      <c r="C240" s="372" t="s">
        <v>197</v>
      </c>
      <c r="D240" s="372" t="s">
        <v>201</v>
      </c>
      <c r="E240" s="372" t="s">
        <v>317</v>
      </c>
      <c r="F240" s="373"/>
      <c r="G240" s="197">
        <v>22660.348999999998</v>
      </c>
      <c r="H240" s="197">
        <v>22740.934519999999</v>
      </c>
      <c r="I240" s="197">
        <v>22740.934519999999</v>
      </c>
    </row>
    <row r="241" spans="1:9" ht="47.25">
      <c r="A241" s="372" t="s">
        <v>784</v>
      </c>
      <c r="B241" s="372" t="s">
        <v>57</v>
      </c>
      <c r="C241" s="372" t="s">
        <v>197</v>
      </c>
      <c r="D241" s="372" t="s">
        <v>201</v>
      </c>
      <c r="E241" s="372" t="s">
        <v>318</v>
      </c>
      <c r="F241" s="373"/>
      <c r="G241" s="197">
        <v>16941.823</v>
      </c>
      <c r="H241" s="197">
        <v>17211.14863</v>
      </c>
      <c r="I241" s="197">
        <v>17211.14863</v>
      </c>
    </row>
    <row r="242" spans="1:9" ht="63">
      <c r="A242" s="372" t="s">
        <v>785</v>
      </c>
      <c r="B242" s="372" t="s">
        <v>57</v>
      </c>
      <c r="C242" s="372" t="s">
        <v>197</v>
      </c>
      <c r="D242" s="372" t="s">
        <v>201</v>
      </c>
      <c r="E242" s="372" t="s">
        <v>319</v>
      </c>
      <c r="F242" s="373"/>
      <c r="G242" s="197">
        <v>14072.388999999999</v>
      </c>
      <c r="H242" s="197">
        <v>14091.973</v>
      </c>
      <c r="I242" s="197">
        <v>14091.973</v>
      </c>
    </row>
    <row r="243" spans="1:9" ht="141.75">
      <c r="A243" s="372" t="s">
        <v>771</v>
      </c>
      <c r="B243" s="372" t="s">
        <v>57</v>
      </c>
      <c r="C243" s="372" t="s">
        <v>197</v>
      </c>
      <c r="D243" s="372" t="s">
        <v>201</v>
      </c>
      <c r="E243" s="372" t="s">
        <v>319</v>
      </c>
      <c r="F243" s="372" t="s">
        <v>265</v>
      </c>
      <c r="G243" s="197">
        <v>12859.438</v>
      </c>
      <c r="H243" s="197">
        <v>12859.438</v>
      </c>
      <c r="I243" s="197">
        <v>12859.438</v>
      </c>
    </row>
    <row r="244" spans="1:9" ht="63">
      <c r="A244" s="372" t="s">
        <v>758</v>
      </c>
      <c r="B244" s="372" t="s">
        <v>57</v>
      </c>
      <c r="C244" s="372" t="s">
        <v>197</v>
      </c>
      <c r="D244" s="372" t="s">
        <v>201</v>
      </c>
      <c r="E244" s="372" t="s">
        <v>319</v>
      </c>
      <c r="F244" s="372" t="s">
        <v>266</v>
      </c>
      <c r="G244" s="197">
        <v>1212.951</v>
      </c>
      <c r="H244" s="197">
        <v>1232.5350000000001</v>
      </c>
      <c r="I244" s="197">
        <v>1232.5350000000001</v>
      </c>
    </row>
    <row r="245" spans="1:9" ht="63">
      <c r="A245" s="372" t="s">
        <v>786</v>
      </c>
      <c r="B245" s="372" t="s">
        <v>57</v>
      </c>
      <c r="C245" s="372" t="s">
        <v>197</v>
      </c>
      <c r="D245" s="372" t="s">
        <v>201</v>
      </c>
      <c r="E245" s="372" t="s">
        <v>320</v>
      </c>
      <c r="F245" s="373"/>
      <c r="G245" s="197">
        <v>2869.4340000000002</v>
      </c>
      <c r="H245" s="197">
        <v>3119.1756300000002</v>
      </c>
      <c r="I245" s="197">
        <v>3119.1756300000002</v>
      </c>
    </row>
    <row r="246" spans="1:9" ht="141.75">
      <c r="A246" s="372" t="s">
        <v>771</v>
      </c>
      <c r="B246" s="372" t="s">
        <v>57</v>
      </c>
      <c r="C246" s="372" t="s">
        <v>197</v>
      </c>
      <c r="D246" s="372" t="s">
        <v>201</v>
      </c>
      <c r="E246" s="372" t="s">
        <v>320</v>
      </c>
      <c r="F246" s="372" t="s">
        <v>265</v>
      </c>
      <c r="G246" s="197">
        <v>2562.087</v>
      </c>
      <c r="H246" s="197">
        <v>2713.6466300000002</v>
      </c>
      <c r="I246" s="197">
        <v>2713.6466300000002</v>
      </c>
    </row>
    <row r="247" spans="1:9" ht="63">
      <c r="A247" s="372" t="s">
        <v>758</v>
      </c>
      <c r="B247" s="372" t="s">
        <v>57</v>
      </c>
      <c r="C247" s="372" t="s">
        <v>197</v>
      </c>
      <c r="D247" s="372" t="s">
        <v>201</v>
      </c>
      <c r="E247" s="372" t="s">
        <v>320</v>
      </c>
      <c r="F247" s="372" t="s">
        <v>266</v>
      </c>
      <c r="G247" s="197">
        <v>306.17700000000002</v>
      </c>
      <c r="H247" s="197">
        <v>404.35899999999998</v>
      </c>
      <c r="I247" s="197">
        <v>404.35899999999998</v>
      </c>
    </row>
    <row r="248" spans="1:9" ht="31.5">
      <c r="A248" s="372" t="s">
        <v>772</v>
      </c>
      <c r="B248" s="372" t="s">
        <v>57</v>
      </c>
      <c r="C248" s="372" t="s">
        <v>197</v>
      </c>
      <c r="D248" s="372" t="s">
        <v>201</v>
      </c>
      <c r="E248" s="372" t="s">
        <v>320</v>
      </c>
      <c r="F248" s="372" t="s">
        <v>267</v>
      </c>
      <c r="G248" s="197">
        <v>1.17</v>
      </c>
      <c r="H248" s="197">
        <v>1.17</v>
      </c>
      <c r="I248" s="197">
        <v>1.17</v>
      </c>
    </row>
    <row r="249" spans="1:9" ht="94.5">
      <c r="A249" s="372" t="s">
        <v>1113</v>
      </c>
      <c r="B249" s="372" t="s">
        <v>57</v>
      </c>
      <c r="C249" s="372" t="s">
        <v>197</v>
      </c>
      <c r="D249" s="372" t="s">
        <v>201</v>
      </c>
      <c r="E249" s="372" t="s">
        <v>961</v>
      </c>
      <c r="F249" s="373"/>
      <c r="G249" s="197">
        <v>5718.5259999999998</v>
      </c>
      <c r="H249" s="197">
        <v>5529.7858900000001</v>
      </c>
      <c r="I249" s="197">
        <v>5529.7858900000001</v>
      </c>
    </row>
    <row r="250" spans="1:9" ht="63">
      <c r="A250" s="372" t="s">
        <v>1114</v>
      </c>
      <c r="B250" s="372" t="s">
        <v>57</v>
      </c>
      <c r="C250" s="372" t="s">
        <v>197</v>
      </c>
      <c r="D250" s="372" t="s">
        <v>201</v>
      </c>
      <c r="E250" s="372" t="s">
        <v>963</v>
      </c>
      <c r="F250" s="373"/>
      <c r="G250" s="197">
        <v>5685.1260000000002</v>
      </c>
      <c r="H250" s="197">
        <v>5496.3858899999996</v>
      </c>
      <c r="I250" s="197">
        <v>5496.3858899999996</v>
      </c>
    </row>
    <row r="251" spans="1:9" ht="141.75">
      <c r="A251" s="372" t="s">
        <v>771</v>
      </c>
      <c r="B251" s="372" t="s">
        <v>57</v>
      </c>
      <c r="C251" s="372" t="s">
        <v>197</v>
      </c>
      <c r="D251" s="372" t="s">
        <v>201</v>
      </c>
      <c r="E251" s="372" t="s">
        <v>963</v>
      </c>
      <c r="F251" s="372" t="s">
        <v>265</v>
      </c>
      <c r="G251" s="197">
        <v>5162.0280000000002</v>
      </c>
      <c r="H251" s="197">
        <v>4914.88789</v>
      </c>
      <c r="I251" s="197">
        <v>4914.88789</v>
      </c>
    </row>
    <row r="252" spans="1:9" ht="63">
      <c r="A252" s="372" t="s">
        <v>758</v>
      </c>
      <c r="B252" s="372" t="s">
        <v>57</v>
      </c>
      <c r="C252" s="372" t="s">
        <v>197</v>
      </c>
      <c r="D252" s="372" t="s">
        <v>201</v>
      </c>
      <c r="E252" s="372" t="s">
        <v>963</v>
      </c>
      <c r="F252" s="372" t="s">
        <v>266</v>
      </c>
      <c r="G252" s="197">
        <v>520.38300000000004</v>
      </c>
      <c r="H252" s="197">
        <v>578.78300000000002</v>
      </c>
      <c r="I252" s="197">
        <v>578.78300000000002</v>
      </c>
    </row>
    <row r="253" spans="1:9" ht="31.5">
      <c r="A253" s="372" t="s">
        <v>772</v>
      </c>
      <c r="B253" s="372" t="s">
        <v>57</v>
      </c>
      <c r="C253" s="372" t="s">
        <v>197</v>
      </c>
      <c r="D253" s="372" t="s">
        <v>201</v>
      </c>
      <c r="E253" s="372" t="s">
        <v>963</v>
      </c>
      <c r="F253" s="372" t="s">
        <v>267</v>
      </c>
      <c r="G253" s="197">
        <v>2.7149999999999999</v>
      </c>
      <c r="H253" s="197">
        <v>2.7149999999999999</v>
      </c>
      <c r="I253" s="197">
        <v>2.7149999999999999</v>
      </c>
    </row>
    <row r="254" spans="1:9" ht="110.25">
      <c r="A254" s="372" t="s">
        <v>1115</v>
      </c>
      <c r="B254" s="372" t="s">
        <v>57</v>
      </c>
      <c r="C254" s="372" t="s">
        <v>197</v>
      </c>
      <c r="D254" s="372" t="s">
        <v>201</v>
      </c>
      <c r="E254" s="372" t="s">
        <v>965</v>
      </c>
      <c r="F254" s="373"/>
      <c r="G254" s="197">
        <v>33.4</v>
      </c>
      <c r="H254" s="197">
        <v>33.4</v>
      </c>
      <c r="I254" s="197">
        <v>33.4</v>
      </c>
    </row>
    <row r="255" spans="1:9" ht="63">
      <c r="A255" s="372" t="s">
        <v>758</v>
      </c>
      <c r="B255" s="372" t="s">
        <v>57</v>
      </c>
      <c r="C255" s="372" t="s">
        <v>197</v>
      </c>
      <c r="D255" s="372" t="s">
        <v>201</v>
      </c>
      <c r="E255" s="372" t="s">
        <v>965</v>
      </c>
      <c r="F255" s="372" t="s">
        <v>266</v>
      </c>
      <c r="G255" s="197">
        <v>33.4</v>
      </c>
      <c r="H255" s="197">
        <v>33.4</v>
      </c>
      <c r="I255" s="197">
        <v>33.4</v>
      </c>
    </row>
    <row r="256" spans="1:9" ht="78.75">
      <c r="A256" s="372" t="s">
        <v>1119</v>
      </c>
      <c r="B256" s="372" t="s">
        <v>57</v>
      </c>
      <c r="C256" s="372" t="s">
        <v>197</v>
      </c>
      <c r="D256" s="372" t="s">
        <v>201</v>
      </c>
      <c r="E256" s="372" t="s">
        <v>345</v>
      </c>
      <c r="F256" s="373"/>
      <c r="G256" s="197">
        <v>226.4665</v>
      </c>
      <c r="H256" s="197">
        <v>130</v>
      </c>
      <c r="I256" s="197">
        <v>130</v>
      </c>
    </row>
    <row r="257" spans="1:9" ht="63">
      <c r="A257" s="372" t="s">
        <v>1121</v>
      </c>
      <c r="B257" s="372" t="s">
        <v>57</v>
      </c>
      <c r="C257" s="372" t="s">
        <v>197</v>
      </c>
      <c r="D257" s="372" t="s">
        <v>201</v>
      </c>
      <c r="E257" s="372" t="s">
        <v>346</v>
      </c>
      <c r="F257" s="373"/>
      <c r="G257" s="197">
        <v>226.4665</v>
      </c>
      <c r="H257" s="197">
        <v>130</v>
      </c>
      <c r="I257" s="197">
        <v>130</v>
      </c>
    </row>
    <row r="258" spans="1:9" ht="63">
      <c r="A258" s="372" t="s">
        <v>1460</v>
      </c>
      <c r="B258" s="372" t="s">
        <v>57</v>
      </c>
      <c r="C258" s="372" t="s">
        <v>197</v>
      </c>
      <c r="D258" s="372" t="s">
        <v>201</v>
      </c>
      <c r="E258" s="372" t="s">
        <v>347</v>
      </c>
      <c r="F258" s="373"/>
      <c r="G258" s="197">
        <v>226.4665</v>
      </c>
      <c r="H258" s="197">
        <v>130</v>
      </c>
      <c r="I258" s="197">
        <v>130</v>
      </c>
    </row>
    <row r="259" spans="1:9" ht="63">
      <c r="A259" s="372" t="s">
        <v>909</v>
      </c>
      <c r="B259" s="372" t="s">
        <v>57</v>
      </c>
      <c r="C259" s="372" t="s">
        <v>197</v>
      </c>
      <c r="D259" s="372" t="s">
        <v>201</v>
      </c>
      <c r="E259" s="372" t="s">
        <v>999</v>
      </c>
      <c r="F259" s="373"/>
      <c r="G259" s="197">
        <v>226.4665</v>
      </c>
      <c r="H259" s="197">
        <v>130</v>
      </c>
      <c r="I259" s="197">
        <v>130</v>
      </c>
    </row>
    <row r="260" spans="1:9" ht="63">
      <c r="A260" s="372" t="s">
        <v>758</v>
      </c>
      <c r="B260" s="372" t="s">
        <v>57</v>
      </c>
      <c r="C260" s="372" t="s">
        <v>197</v>
      </c>
      <c r="D260" s="372" t="s">
        <v>201</v>
      </c>
      <c r="E260" s="372" t="s">
        <v>999</v>
      </c>
      <c r="F260" s="372" t="s">
        <v>266</v>
      </c>
      <c r="G260" s="197">
        <v>226.4665</v>
      </c>
      <c r="H260" s="197">
        <v>130</v>
      </c>
      <c r="I260" s="197">
        <v>130</v>
      </c>
    </row>
    <row r="261" spans="1:9" ht="15.75">
      <c r="A261" s="372" t="s">
        <v>493</v>
      </c>
      <c r="B261" s="372" t="s">
        <v>57</v>
      </c>
      <c r="C261" s="372" t="s">
        <v>203</v>
      </c>
      <c r="D261" s="373"/>
      <c r="E261" s="373"/>
      <c r="F261" s="373"/>
      <c r="G261" s="197">
        <v>4554.1022400000002</v>
      </c>
      <c r="H261" s="197">
        <v>4682.5066100000004</v>
      </c>
      <c r="I261" s="197">
        <v>4682.5066100000004</v>
      </c>
    </row>
    <row r="262" spans="1:9" ht="15.75">
      <c r="A262" s="372" t="s">
        <v>494</v>
      </c>
      <c r="B262" s="372" t="s">
        <v>57</v>
      </c>
      <c r="C262" s="372" t="s">
        <v>203</v>
      </c>
      <c r="D262" s="372" t="s">
        <v>195</v>
      </c>
      <c r="E262" s="373"/>
      <c r="F262" s="373"/>
      <c r="G262" s="197">
        <v>4554.1022400000002</v>
      </c>
      <c r="H262" s="197">
        <v>4682.5066100000004</v>
      </c>
      <c r="I262" s="197">
        <v>4682.5066100000004</v>
      </c>
    </row>
    <row r="263" spans="1:9" ht="63">
      <c r="A263" s="372" t="s">
        <v>477</v>
      </c>
      <c r="B263" s="372" t="s">
        <v>57</v>
      </c>
      <c r="C263" s="372" t="s">
        <v>203</v>
      </c>
      <c r="D263" s="372" t="s">
        <v>195</v>
      </c>
      <c r="E263" s="372" t="s">
        <v>303</v>
      </c>
      <c r="F263" s="373"/>
      <c r="G263" s="197">
        <v>4554.1022400000002</v>
      </c>
      <c r="H263" s="197">
        <v>4682.5066100000004</v>
      </c>
      <c r="I263" s="197">
        <v>4682.5066100000004</v>
      </c>
    </row>
    <row r="264" spans="1:9" ht="63">
      <c r="A264" s="372" t="s">
        <v>1110</v>
      </c>
      <c r="B264" s="372" t="s">
        <v>57</v>
      </c>
      <c r="C264" s="372" t="s">
        <v>203</v>
      </c>
      <c r="D264" s="372" t="s">
        <v>195</v>
      </c>
      <c r="E264" s="372" t="s">
        <v>321</v>
      </c>
      <c r="F264" s="373"/>
      <c r="G264" s="197">
        <v>4554.1022400000002</v>
      </c>
      <c r="H264" s="197">
        <v>4682.5066100000004</v>
      </c>
      <c r="I264" s="197">
        <v>4682.5066100000004</v>
      </c>
    </row>
    <row r="265" spans="1:9" ht="78.75">
      <c r="A265" s="372" t="s">
        <v>1459</v>
      </c>
      <c r="B265" s="372" t="s">
        <v>57</v>
      </c>
      <c r="C265" s="372" t="s">
        <v>203</v>
      </c>
      <c r="D265" s="372" t="s">
        <v>195</v>
      </c>
      <c r="E265" s="372" t="s">
        <v>849</v>
      </c>
      <c r="F265" s="373"/>
      <c r="G265" s="197">
        <v>4554.1022400000002</v>
      </c>
      <c r="H265" s="197">
        <v>4682.5066100000004</v>
      </c>
      <c r="I265" s="197">
        <v>4682.5066100000004</v>
      </c>
    </row>
    <row r="266" spans="1:9" ht="157.5">
      <c r="A266" s="372" t="s">
        <v>787</v>
      </c>
      <c r="B266" s="372" t="s">
        <v>57</v>
      </c>
      <c r="C266" s="372" t="s">
        <v>203</v>
      </c>
      <c r="D266" s="372" t="s">
        <v>195</v>
      </c>
      <c r="E266" s="372" t="s">
        <v>974</v>
      </c>
      <c r="F266" s="373"/>
      <c r="G266" s="197">
        <v>4554.1022400000002</v>
      </c>
      <c r="H266" s="197">
        <v>4682.5066100000004</v>
      </c>
      <c r="I266" s="197">
        <v>4682.5066100000004</v>
      </c>
    </row>
    <row r="267" spans="1:9" ht="63">
      <c r="A267" s="372" t="s">
        <v>758</v>
      </c>
      <c r="B267" s="372" t="s">
        <v>57</v>
      </c>
      <c r="C267" s="372" t="s">
        <v>203</v>
      </c>
      <c r="D267" s="372" t="s">
        <v>195</v>
      </c>
      <c r="E267" s="372" t="s">
        <v>974</v>
      </c>
      <c r="F267" s="372" t="s">
        <v>266</v>
      </c>
      <c r="G267" s="197">
        <v>67.302000000000007</v>
      </c>
      <c r="H267" s="197">
        <v>69.199610000000007</v>
      </c>
      <c r="I267" s="197">
        <v>69.199610000000007</v>
      </c>
    </row>
    <row r="268" spans="1:9" ht="31.5">
      <c r="A268" s="372" t="s">
        <v>769</v>
      </c>
      <c r="B268" s="372" t="s">
        <v>57</v>
      </c>
      <c r="C268" s="372" t="s">
        <v>203</v>
      </c>
      <c r="D268" s="372" t="s">
        <v>195</v>
      </c>
      <c r="E268" s="372" t="s">
        <v>974</v>
      </c>
      <c r="F268" s="372" t="s">
        <v>271</v>
      </c>
      <c r="G268" s="197">
        <v>4486.8002399999996</v>
      </c>
      <c r="H268" s="197">
        <v>4613.3069999999998</v>
      </c>
      <c r="I268" s="197">
        <v>4613.3069999999998</v>
      </c>
    </row>
    <row r="269" spans="1:9" ht="47.25">
      <c r="A269" s="372" t="s">
        <v>136</v>
      </c>
      <c r="B269" s="372" t="s">
        <v>30</v>
      </c>
      <c r="C269" s="373"/>
      <c r="D269" s="373"/>
      <c r="E269" s="373"/>
      <c r="F269" s="373"/>
      <c r="G269" s="197">
        <v>392998.10145999998</v>
      </c>
      <c r="H269" s="197">
        <v>150433.11536</v>
      </c>
      <c r="I269" s="197">
        <v>143212.73662000001</v>
      </c>
    </row>
    <row r="270" spans="1:9" ht="31.5">
      <c r="A270" s="372" t="s">
        <v>468</v>
      </c>
      <c r="B270" s="372" t="s">
        <v>30</v>
      </c>
      <c r="C270" s="372" t="s">
        <v>200</v>
      </c>
      <c r="D270" s="373"/>
      <c r="E270" s="373"/>
      <c r="F270" s="373"/>
      <c r="G270" s="197">
        <v>32254.699069999999</v>
      </c>
      <c r="H270" s="197">
        <v>19186.942879999999</v>
      </c>
      <c r="I270" s="197">
        <v>16056.026</v>
      </c>
    </row>
    <row r="271" spans="1:9" ht="78.75">
      <c r="A271" s="372" t="s">
        <v>495</v>
      </c>
      <c r="B271" s="372" t="s">
        <v>30</v>
      </c>
      <c r="C271" s="372" t="s">
        <v>200</v>
      </c>
      <c r="D271" s="372" t="s">
        <v>204</v>
      </c>
      <c r="E271" s="373"/>
      <c r="F271" s="373"/>
      <c r="G271" s="197">
        <v>7538.32</v>
      </c>
      <c r="H271" s="197">
        <v>7448.32</v>
      </c>
      <c r="I271" s="197">
        <v>7448.32</v>
      </c>
    </row>
    <row r="272" spans="1:9" ht="78.75">
      <c r="A272" s="372" t="s">
        <v>496</v>
      </c>
      <c r="B272" s="372" t="s">
        <v>30</v>
      </c>
      <c r="C272" s="372" t="s">
        <v>200</v>
      </c>
      <c r="D272" s="372" t="s">
        <v>204</v>
      </c>
      <c r="E272" s="372" t="s">
        <v>390</v>
      </c>
      <c r="F272" s="373"/>
      <c r="G272" s="197">
        <v>7538.32</v>
      </c>
      <c r="H272" s="197">
        <v>7448.32</v>
      </c>
      <c r="I272" s="197">
        <v>7448.32</v>
      </c>
    </row>
    <row r="273" spans="1:9" ht="94.5">
      <c r="A273" s="372" t="s">
        <v>1120</v>
      </c>
      <c r="B273" s="372" t="s">
        <v>30</v>
      </c>
      <c r="C273" s="372" t="s">
        <v>200</v>
      </c>
      <c r="D273" s="372" t="s">
        <v>204</v>
      </c>
      <c r="E273" s="372" t="s">
        <v>391</v>
      </c>
      <c r="F273" s="373"/>
      <c r="G273" s="197">
        <v>7538.32</v>
      </c>
      <c r="H273" s="197">
        <v>7448.32</v>
      </c>
      <c r="I273" s="197">
        <v>7448.32</v>
      </c>
    </row>
    <row r="274" spans="1:9" ht="94.5">
      <c r="A274" s="372" t="s">
        <v>1122</v>
      </c>
      <c r="B274" s="372" t="s">
        <v>30</v>
      </c>
      <c r="C274" s="372" t="s">
        <v>200</v>
      </c>
      <c r="D274" s="372" t="s">
        <v>204</v>
      </c>
      <c r="E274" s="372" t="s">
        <v>392</v>
      </c>
      <c r="F274" s="373"/>
      <c r="G274" s="197">
        <v>7538.32</v>
      </c>
      <c r="H274" s="197">
        <v>7448.32</v>
      </c>
      <c r="I274" s="197">
        <v>7448.32</v>
      </c>
    </row>
    <row r="275" spans="1:9" ht="63">
      <c r="A275" s="372" t="s">
        <v>1114</v>
      </c>
      <c r="B275" s="372" t="s">
        <v>30</v>
      </c>
      <c r="C275" s="372" t="s">
        <v>200</v>
      </c>
      <c r="D275" s="372" t="s">
        <v>204</v>
      </c>
      <c r="E275" s="372" t="s">
        <v>1080</v>
      </c>
      <c r="F275" s="373"/>
      <c r="G275" s="197">
        <v>7475.92</v>
      </c>
      <c r="H275" s="197">
        <v>7385.92</v>
      </c>
      <c r="I275" s="197">
        <v>7385.92</v>
      </c>
    </row>
    <row r="276" spans="1:9" ht="141.75">
      <c r="A276" s="372" t="s">
        <v>771</v>
      </c>
      <c r="B276" s="372" t="s">
        <v>30</v>
      </c>
      <c r="C276" s="372" t="s">
        <v>200</v>
      </c>
      <c r="D276" s="372" t="s">
        <v>204</v>
      </c>
      <c r="E276" s="372" t="s">
        <v>1080</v>
      </c>
      <c r="F276" s="372" t="s">
        <v>265</v>
      </c>
      <c r="G276" s="197">
        <v>6470.82</v>
      </c>
      <c r="H276" s="197">
        <v>6470.82</v>
      </c>
      <c r="I276" s="197">
        <v>6470.82</v>
      </c>
    </row>
    <row r="277" spans="1:9" ht="63">
      <c r="A277" s="372" t="s">
        <v>758</v>
      </c>
      <c r="B277" s="372" t="s">
        <v>30</v>
      </c>
      <c r="C277" s="372" t="s">
        <v>200</v>
      </c>
      <c r="D277" s="372" t="s">
        <v>204</v>
      </c>
      <c r="E277" s="372" t="s">
        <v>1080</v>
      </c>
      <c r="F277" s="372" t="s">
        <v>266</v>
      </c>
      <c r="G277" s="197">
        <v>993.9</v>
      </c>
      <c r="H277" s="197">
        <v>903.9</v>
      </c>
      <c r="I277" s="197">
        <v>903.9</v>
      </c>
    </row>
    <row r="278" spans="1:9" ht="31.5">
      <c r="A278" s="372" t="s">
        <v>772</v>
      </c>
      <c r="B278" s="372" t="s">
        <v>30</v>
      </c>
      <c r="C278" s="372" t="s">
        <v>200</v>
      </c>
      <c r="D278" s="372" t="s">
        <v>204</v>
      </c>
      <c r="E278" s="372" t="s">
        <v>1080</v>
      </c>
      <c r="F278" s="372" t="s">
        <v>267</v>
      </c>
      <c r="G278" s="197">
        <v>11.2</v>
      </c>
      <c r="H278" s="197">
        <v>11.2</v>
      </c>
      <c r="I278" s="197">
        <v>11.2</v>
      </c>
    </row>
    <row r="279" spans="1:9" ht="110.25">
      <c r="A279" s="372" t="s">
        <v>1115</v>
      </c>
      <c r="B279" s="372" t="s">
        <v>30</v>
      </c>
      <c r="C279" s="372" t="s">
        <v>200</v>
      </c>
      <c r="D279" s="372" t="s">
        <v>204</v>
      </c>
      <c r="E279" s="372" t="s">
        <v>1081</v>
      </c>
      <c r="F279" s="373"/>
      <c r="G279" s="197">
        <v>62.4</v>
      </c>
      <c r="H279" s="197">
        <v>62.4</v>
      </c>
      <c r="I279" s="197">
        <v>62.4</v>
      </c>
    </row>
    <row r="280" spans="1:9" ht="63">
      <c r="A280" s="372" t="s">
        <v>758</v>
      </c>
      <c r="B280" s="372" t="s">
        <v>30</v>
      </c>
      <c r="C280" s="372" t="s">
        <v>200</v>
      </c>
      <c r="D280" s="372" t="s">
        <v>204</v>
      </c>
      <c r="E280" s="372" t="s">
        <v>1081</v>
      </c>
      <c r="F280" s="372" t="s">
        <v>266</v>
      </c>
      <c r="G280" s="197">
        <v>62.4</v>
      </c>
      <c r="H280" s="197">
        <v>62.4</v>
      </c>
      <c r="I280" s="197">
        <v>62.4</v>
      </c>
    </row>
    <row r="281" spans="1:9" ht="15.75">
      <c r="A281" s="372" t="s">
        <v>497</v>
      </c>
      <c r="B281" s="372" t="s">
        <v>30</v>
      </c>
      <c r="C281" s="372" t="s">
        <v>200</v>
      </c>
      <c r="D281" s="372" t="s">
        <v>5</v>
      </c>
      <c r="E281" s="373"/>
      <c r="F281" s="373"/>
      <c r="G281" s="197">
        <v>288.70382000000001</v>
      </c>
      <c r="H281" s="197">
        <v>2114.8000000000002</v>
      </c>
      <c r="I281" s="197">
        <v>2114.8000000000002</v>
      </c>
    </row>
    <row r="282" spans="1:9" ht="78.75">
      <c r="A282" s="372" t="s">
        <v>489</v>
      </c>
      <c r="B282" s="372" t="s">
        <v>30</v>
      </c>
      <c r="C282" s="372" t="s">
        <v>200</v>
      </c>
      <c r="D282" s="372" t="s">
        <v>5</v>
      </c>
      <c r="E282" s="372" t="s">
        <v>417</v>
      </c>
      <c r="F282" s="373"/>
      <c r="G282" s="197">
        <v>288.70382000000001</v>
      </c>
      <c r="H282" s="197">
        <v>2114.8000000000002</v>
      </c>
      <c r="I282" s="197">
        <v>2114.8000000000002</v>
      </c>
    </row>
    <row r="283" spans="1:9" ht="47.25">
      <c r="A283" s="372" t="s">
        <v>490</v>
      </c>
      <c r="B283" s="372" t="s">
        <v>30</v>
      </c>
      <c r="C283" s="372" t="s">
        <v>200</v>
      </c>
      <c r="D283" s="372" t="s">
        <v>5</v>
      </c>
      <c r="E283" s="372" t="s">
        <v>418</v>
      </c>
      <c r="F283" s="373"/>
      <c r="G283" s="197">
        <v>288.70382000000001</v>
      </c>
      <c r="H283" s="197">
        <v>2114.8000000000002</v>
      </c>
      <c r="I283" s="197">
        <v>2114.8000000000002</v>
      </c>
    </row>
    <row r="284" spans="1:9" ht="47.25">
      <c r="A284" s="372" t="s">
        <v>1461</v>
      </c>
      <c r="B284" s="372" t="s">
        <v>30</v>
      </c>
      <c r="C284" s="372" t="s">
        <v>200</v>
      </c>
      <c r="D284" s="372" t="s">
        <v>5</v>
      </c>
      <c r="E284" s="372" t="s">
        <v>418</v>
      </c>
      <c r="F284" s="373"/>
      <c r="G284" s="197">
        <v>288.70382000000001</v>
      </c>
      <c r="H284" s="197">
        <v>2114.8000000000002</v>
      </c>
      <c r="I284" s="197">
        <v>2114.8000000000002</v>
      </c>
    </row>
    <row r="285" spans="1:9" ht="47.25">
      <c r="A285" s="372" t="s">
        <v>779</v>
      </c>
      <c r="B285" s="372" t="s">
        <v>30</v>
      </c>
      <c r="C285" s="372" t="s">
        <v>200</v>
      </c>
      <c r="D285" s="372" t="s">
        <v>5</v>
      </c>
      <c r="E285" s="372" t="s">
        <v>419</v>
      </c>
      <c r="F285" s="373"/>
      <c r="G285" s="197">
        <v>288.70382000000001</v>
      </c>
      <c r="H285" s="197">
        <v>2114.8000000000002</v>
      </c>
      <c r="I285" s="197">
        <v>2114.8000000000002</v>
      </c>
    </row>
    <row r="286" spans="1:9" ht="31.5">
      <c r="A286" s="372" t="s">
        <v>772</v>
      </c>
      <c r="B286" s="372" t="s">
        <v>30</v>
      </c>
      <c r="C286" s="372" t="s">
        <v>200</v>
      </c>
      <c r="D286" s="372" t="s">
        <v>5</v>
      </c>
      <c r="E286" s="372" t="s">
        <v>419</v>
      </c>
      <c r="F286" s="372" t="s">
        <v>267</v>
      </c>
      <c r="G286" s="197">
        <v>288.70382000000001</v>
      </c>
      <c r="H286" s="197">
        <v>2114.8000000000002</v>
      </c>
      <c r="I286" s="197">
        <v>2114.8000000000002</v>
      </c>
    </row>
    <row r="287" spans="1:9" ht="31.5">
      <c r="A287" s="372" t="s">
        <v>469</v>
      </c>
      <c r="B287" s="372" t="s">
        <v>30</v>
      </c>
      <c r="C287" s="372" t="s">
        <v>200</v>
      </c>
      <c r="D287" s="372" t="s">
        <v>6</v>
      </c>
      <c r="E287" s="373"/>
      <c r="F287" s="373"/>
      <c r="G287" s="197">
        <v>24427.67525</v>
      </c>
      <c r="H287" s="197">
        <v>9623.8228799999997</v>
      </c>
      <c r="I287" s="197">
        <v>6492.9059999999999</v>
      </c>
    </row>
    <row r="288" spans="1:9" ht="78.75">
      <c r="A288" s="372" t="s">
        <v>496</v>
      </c>
      <c r="B288" s="372" t="s">
        <v>30</v>
      </c>
      <c r="C288" s="372" t="s">
        <v>200</v>
      </c>
      <c r="D288" s="372" t="s">
        <v>6</v>
      </c>
      <c r="E288" s="372" t="s">
        <v>390</v>
      </c>
      <c r="F288" s="373"/>
      <c r="G288" s="197">
        <v>7298.7020000000002</v>
      </c>
      <c r="H288" s="197">
        <v>3130.9168800000002</v>
      </c>
      <c r="I288" s="197">
        <v>0</v>
      </c>
    </row>
    <row r="289" spans="1:9" ht="94.5">
      <c r="A289" s="372" t="s">
        <v>1120</v>
      </c>
      <c r="B289" s="372" t="s">
        <v>30</v>
      </c>
      <c r="C289" s="372" t="s">
        <v>200</v>
      </c>
      <c r="D289" s="372" t="s">
        <v>6</v>
      </c>
      <c r="E289" s="372" t="s">
        <v>391</v>
      </c>
      <c r="F289" s="373"/>
      <c r="G289" s="197">
        <v>7298.7020000000002</v>
      </c>
      <c r="H289" s="197">
        <v>3130.9168800000002</v>
      </c>
      <c r="I289" s="197">
        <v>0</v>
      </c>
    </row>
    <row r="290" spans="1:9" ht="94.5">
      <c r="A290" s="372" t="s">
        <v>1122</v>
      </c>
      <c r="B290" s="372" t="s">
        <v>30</v>
      </c>
      <c r="C290" s="372" t="s">
        <v>200</v>
      </c>
      <c r="D290" s="372" t="s">
        <v>6</v>
      </c>
      <c r="E290" s="372" t="s">
        <v>392</v>
      </c>
      <c r="F290" s="373"/>
      <c r="G290" s="197">
        <v>7298.7020000000002</v>
      </c>
      <c r="H290" s="197">
        <v>3130.9168800000002</v>
      </c>
      <c r="I290" s="197">
        <v>0</v>
      </c>
    </row>
    <row r="291" spans="1:9" ht="47.25">
      <c r="A291" s="372" t="s">
        <v>880</v>
      </c>
      <c r="B291" s="372" t="s">
        <v>30</v>
      </c>
      <c r="C291" s="372" t="s">
        <v>200</v>
      </c>
      <c r="D291" s="372" t="s">
        <v>6</v>
      </c>
      <c r="E291" s="372" t="s">
        <v>1082</v>
      </c>
      <c r="F291" s="373"/>
      <c r="G291" s="197">
        <v>510.23581000000001</v>
      </c>
      <c r="H291" s="197">
        <v>0</v>
      </c>
      <c r="I291" s="197">
        <v>0</v>
      </c>
    </row>
    <row r="292" spans="1:9" ht="63">
      <c r="A292" s="372" t="s">
        <v>755</v>
      </c>
      <c r="B292" s="372" t="s">
        <v>30</v>
      </c>
      <c r="C292" s="372" t="s">
        <v>200</v>
      </c>
      <c r="D292" s="372" t="s">
        <v>6</v>
      </c>
      <c r="E292" s="372" t="s">
        <v>1082</v>
      </c>
      <c r="F292" s="372" t="s">
        <v>268</v>
      </c>
      <c r="G292" s="197">
        <v>510.23581000000001</v>
      </c>
      <c r="H292" s="197">
        <v>0</v>
      </c>
      <c r="I292" s="197">
        <v>0</v>
      </c>
    </row>
    <row r="293" spans="1:9" ht="94.5">
      <c r="A293" s="372" t="s">
        <v>1123</v>
      </c>
      <c r="B293" s="372" t="s">
        <v>30</v>
      </c>
      <c r="C293" s="372" t="s">
        <v>200</v>
      </c>
      <c r="D293" s="372" t="s">
        <v>6</v>
      </c>
      <c r="E293" s="372" t="s">
        <v>1084</v>
      </c>
      <c r="F293" s="373"/>
      <c r="G293" s="197">
        <v>4897.1481899999999</v>
      </c>
      <c r="H293" s="197">
        <v>3130.9168800000002</v>
      </c>
      <c r="I293" s="197">
        <v>0</v>
      </c>
    </row>
    <row r="294" spans="1:9" ht="63">
      <c r="A294" s="372" t="s">
        <v>755</v>
      </c>
      <c r="B294" s="372" t="s">
        <v>30</v>
      </c>
      <c r="C294" s="372" t="s">
        <v>200</v>
      </c>
      <c r="D294" s="372" t="s">
        <v>6</v>
      </c>
      <c r="E294" s="372" t="s">
        <v>1084</v>
      </c>
      <c r="F294" s="372" t="s">
        <v>268</v>
      </c>
      <c r="G294" s="197">
        <v>4897.1481899999999</v>
      </c>
      <c r="H294" s="197">
        <v>3130.9168800000002</v>
      </c>
      <c r="I294" s="197">
        <v>0</v>
      </c>
    </row>
    <row r="295" spans="1:9" ht="78.75">
      <c r="A295" s="372" t="s">
        <v>1370</v>
      </c>
      <c r="B295" s="372" t="s">
        <v>30</v>
      </c>
      <c r="C295" s="372" t="s">
        <v>200</v>
      </c>
      <c r="D295" s="372" t="s">
        <v>6</v>
      </c>
      <c r="E295" s="372" t="s">
        <v>1365</v>
      </c>
      <c r="F295" s="373"/>
      <c r="G295" s="197">
        <v>1891.318</v>
      </c>
      <c r="H295" s="197">
        <v>0</v>
      </c>
      <c r="I295" s="197">
        <v>0</v>
      </c>
    </row>
    <row r="296" spans="1:9" ht="63">
      <c r="A296" s="372" t="s">
        <v>755</v>
      </c>
      <c r="B296" s="372" t="s">
        <v>30</v>
      </c>
      <c r="C296" s="372" t="s">
        <v>200</v>
      </c>
      <c r="D296" s="372" t="s">
        <v>6</v>
      </c>
      <c r="E296" s="372" t="s">
        <v>1365</v>
      </c>
      <c r="F296" s="372" t="s">
        <v>268</v>
      </c>
      <c r="G296" s="197">
        <v>1891.318</v>
      </c>
      <c r="H296" s="197">
        <v>0</v>
      </c>
      <c r="I296" s="197">
        <v>0</v>
      </c>
    </row>
    <row r="297" spans="1:9" ht="78.75">
      <c r="A297" s="372" t="s">
        <v>484</v>
      </c>
      <c r="B297" s="372" t="s">
        <v>30</v>
      </c>
      <c r="C297" s="372" t="s">
        <v>200</v>
      </c>
      <c r="D297" s="372" t="s">
        <v>6</v>
      </c>
      <c r="E297" s="372" t="s">
        <v>396</v>
      </c>
      <c r="F297" s="373"/>
      <c r="G297" s="197">
        <v>6879.1555500000004</v>
      </c>
      <c r="H297" s="197">
        <v>6492.9059999999999</v>
      </c>
      <c r="I297" s="197">
        <v>6492.9059999999999</v>
      </c>
    </row>
    <row r="298" spans="1:9" ht="63">
      <c r="A298" s="372" t="s">
        <v>1124</v>
      </c>
      <c r="B298" s="372" t="s">
        <v>30</v>
      </c>
      <c r="C298" s="372" t="s">
        <v>200</v>
      </c>
      <c r="D298" s="372" t="s">
        <v>6</v>
      </c>
      <c r="E298" s="372" t="s">
        <v>397</v>
      </c>
      <c r="F298" s="373"/>
      <c r="G298" s="197">
        <v>6879.1555500000004</v>
      </c>
      <c r="H298" s="197">
        <v>6492.9059999999999</v>
      </c>
      <c r="I298" s="197">
        <v>6492.9059999999999</v>
      </c>
    </row>
    <row r="299" spans="1:9" ht="110.25">
      <c r="A299" s="372" t="s">
        <v>1125</v>
      </c>
      <c r="B299" s="372" t="s">
        <v>30</v>
      </c>
      <c r="C299" s="372" t="s">
        <v>200</v>
      </c>
      <c r="D299" s="372" t="s">
        <v>6</v>
      </c>
      <c r="E299" s="372" t="s">
        <v>1090</v>
      </c>
      <c r="F299" s="373"/>
      <c r="G299" s="197">
        <v>6879.1555500000004</v>
      </c>
      <c r="H299" s="197">
        <v>6492.9059999999999</v>
      </c>
      <c r="I299" s="197">
        <v>6492.9059999999999</v>
      </c>
    </row>
    <row r="300" spans="1:9" ht="63">
      <c r="A300" s="372" t="s">
        <v>920</v>
      </c>
      <c r="B300" s="372" t="s">
        <v>30</v>
      </c>
      <c r="C300" s="372" t="s">
        <v>200</v>
      </c>
      <c r="D300" s="372" t="s">
        <v>6</v>
      </c>
      <c r="E300" s="372" t="s">
        <v>1091</v>
      </c>
      <c r="F300" s="373"/>
      <c r="G300" s="197">
        <v>6716.1555500000004</v>
      </c>
      <c r="H300" s="197">
        <v>6492.9059999999999</v>
      </c>
      <c r="I300" s="197">
        <v>6492.9059999999999</v>
      </c>
    </row>
    <row r="301" spans="1:9" ht="141.75">
      <c r="A301" s="372" t="s">
        <v>771</v>
      </c>
      <c r="B301" s="372" t="s">
        <v>30</v>
      </c>
      <c r="C301" s="372" t="s">
        <v>200</v>
      </c>
      <c r="D301" s="372" t="s">
        <v>6</v>
      </c>
      <c r="E301" s="372" t="s">
        <v>1091</v>
      </c>
      <c r="F301" s="372" t="s">
        <v>265</v>
      </c>
      <c r="G301" s="197">
        <v>5111.9816199999996</v>
      </c>
      <c r="H301" s="197">
        <v>5027.7759999999998</v>
      </c>
      <c r="I301" s="197">
        <v>5027.7759999999998</v>
      </c>
    </row>
    <row r="302" spans="1:9" ht="63">
      <c r="A302" s="372" t="s">
        <v>758</v>
      </c>
      <c r="B302" s="372" t="s">
        <v>30</v>
      </c>
      <c r="C302" s="372" t="s">
        <v>200</v>
      </c>
      <c r="D302" s="372" t="s">
        <v>6</v>
      </c>
      <c r="E302" s="372" t="s">
        <v>1091</v>
      </c>
      <c r="F302" s="372" t="s">
        <v>266</v>
      </c>
      <c r="G302" s="197">
        <v>1590.6639299999999</v>
      </c>
      <c r="H302" s="197">
        <v>1450.9880000000001</v>
      </c>
      <c r="I302" s="197">
        <v>1450.9880000000001</v>
      </c>
    </row>
    <row r="303" spans="1:9" ht="31.5">
      <c r="A303" s="372" t="s">
        <v>772</v>
      </c>
      <c r="B303" s="372" t="s">
        <v>30</v>
      </c>
      <c r="C303" s="372" t="s">
        <v>200</v>
      </c>
      <c r="D303" s="372" t="s">
        <v>6</v>
      </c>
      <c r="E303" s="372" t="s">
        <v>1091</v>
      </c>
      <c r="F303" s="372" t="s">
        <v>267</v>
      </c>
      <c r="G303" s="197">
        <v>13.51</v>
      </c>
      <c r="H303" s="197">
        <v>14.141999999999999</v>
      </c>
      <c r="I303" s="197">
        <v>14.141999999999999</v>
      </c>
    </row>
    <row r="304" spans="1:9" ht="78.75">
      <c r="A304" s="372" t="s">
        <v>1183</v>
      </c>
      <c r="B304" s="372" t="s">
        <v>30</v>
      </c>
      <c r="C304" s="372" t="s">
        <v>200</v>
      </c>
      <c r="D304" s="372" t="s">
        <v>6</v>
      </c>
      <c r="E304" s="372" t="s">
        <v>1174</v>
      </c>
      <c r="F304" s="373"/>
      <c r="G304" s="197">
        <v>163</v>
      </c>
      <c r="H304" s="197">
        <v>0</v>
      </c>
      <c r="I304" s="197">
        <v>0</v>
      </c>
    </row>
    <row r="305" spans="1:9" ht="63">
      <c r="A305" s="372" t="s">
        <v>758</v>
      </c>
      <c r="B305" s="372" t="s">
        <v>30</v>
      </c>
      <c r="C305" s="372" t="s">
        <v>200</v>
      </c>
      <c r="D305" s="372" t="s">
        <v>6</v>
      </c>
      <c r="E305" s="372" t="s">
        <v>1174</v>
      </c>
      <c r="F305" s="372" t="s">
        <v>266</v>
      </c>
      <c r="G305" s="197">
        <v>163</v>
      </c>
      <c r="H305" s="197">
        <v>0</v>
      </c>
      <c r="I305" s="197">
        <v>0</v>
      </c>
    </row>
    <row r="306" spans="1:9" ht="63">
      <c r="A306" s="372" t="s">
        <v>523</v>
      </c>
      <c r="B306" s="372" t="s">
        <v>30</v>
      </c>
      <c r="C306" s="372" t="s">
        <v>200</v>
      </c>
      <c r="D306" s="372" t="s">
        <v>6</v>
      </c>
      <c r="E306" s="372" t="s">
        <v>420</v>
      </c>
      <c r="F306" s="373"/>
      <c r="G306" s="197">
        <v>10234.71696</v>
      </c>
      <c r="H306" s="197">
        <v>0</v>
      </c>
      <c r="I306" s="197">
        <v>0</v>
      </c>
    </row>
    <row r="307" spans="1:9" ht="31.5">
      <c r="A307" s="372" t="s">
        <v>509</v>
      </c>
      <c r="B307" s="372" t="s">
        <v>30</v>
      </c>
      <c r="C307" s="372" t="s">
        <v>200</v>
      </c>
      <c r="D307" s="372" t="s">
        <v>6</v>
      </c>
      <c r="E307" s="372" t="s">
        <v>421</v>
      </c>
      <c r="F307" s="373"/>
      <c r="G307" s="197">
        <v>10234.71696</v>
      </c>
      <c r="H307" s="197">
        <v>0</v>
      </c>
      <c r="I307" s="197">
        <v>0</v>
      </c>
    </row>
    <row r="308" spans="1:9" ht="31.5">
      <c r="A308" s="372" t="s">
        <v>1441</v>
      </c>
      <c r="B308" s="372" t="s">
        <v>30</v>
      </c>
      <c r="C308" s="372" t="s">
        <v>200</v>
      </c>
      <c r="D308" s="372" t="s">
        <v>6</v>
      </c>
      <c r="E308" s="372" t="s">
        <v>421</v>
      </c>
      <c r="F308" s="373"/>
      <c r="G308" s="197">
        <v>10234.71696</v>
      </c>
      <c r="H308" s="197">
        <v>0</v>
      </c>
      <c r="I308" s="197">
        <v>0</v>
      </c>
    </row>
    <row r="309" spans="1:9" ht="204.75">
      <c r="A309" s="372" t="s">
        <v>1184</v>
      </c>
      <c r="B309" s="372" t="s">
        <v>30</v>
      </c>
      <c r="C309" s="372" t="s">
        <v>200</v>
      </c>
      <c r="D309" s="372" t="s">
        <v>6</v>
      </c>
      <c r="E309" s="372" t="s">
        <v>1178</v>
      </c>
      <c r="F309" s="373"/>
      <c r="G309" s="197">
        <v>34.71696</v>
      </c>
      <c r="H309" s="197">
        <v>0</v>
      </c>
      <c r="I309" s="197">
        <v>0</v>
      </c>
    </row>
    <row r="310" spans="1:9" ht="31.5">
      <c r="A310" s="372" t="s">
        <v>772</v>
      </c>
      <c r="B310" s="372" t="s">
        <v>30</v>
      </c>
      <c r="C310" s="372" t="s">
        <v>200</v>
      </c>
      <c r="D310" s="372" t="s">
        <v>6</v>
      </c>
      <c r="E310" s="372" t="s">
        <v>1178</v>
      </c>
      <c r="F310" s="372" t="s">
        <v>267</v>
      </c>
      <c r="G310" s="197">
        <v>34.71696</v>
      </c>
      <c r="H310" s="197">
        <v>0</v>
      </c>
      <c r="I310" s="197">
        <v>0</v>
      </c>
    </row>
    <row r="311" spans="1:9" ht="173.25">
      <c r="A311" s="372" t="s">
        <v>890</v>
      </c>
      <c r="B311" s="372" t="s">
        <v>30</v>
      </c>
      <c r="C311" s="372" t="s">
        <v>200</v>
      </c>
      <c r="D311" s="372" t="s">
        <v>6</v>
      </c>
      <c r="E311" s="372" t="s">
        <v>889</v>
      </c>
      <c r="F311" s="373"/>
      <c r="G311" s="197">
        <v>10200</v>
      </c>
      <c r="H311" s="197">
        <v>0</v>
      </c>
      <c r="I311" s="197">
        <v>0</v>
      </c>
    </row>
    <row r="312" spans="1:9" ht="31.5">
      <c r="A312" s="372" t="s">
        <v>772</v>
      </c>
      <c r="B312" s="372" t="s">
        <v>30</v>
      </c>
      <c r="C312" s="372" t="s">
        <v>200</v>
      </c>
      <c r="D312" s="372" t="s">
        <v>6</v>
      </c>
      <c r="E312" s="372" t="s">
        <v>889</v>
      </c>
      <c r="F312" s="372" t="s">
        <v>267</v>
      </c>
      <c r="G312" s="197">
        <v>10200</v>
      </c>
      <c r="H312" s="197">
        <v>0</v>
      </c>
      <c r="I312" s="197">
        <v>0</v>
      </c>
    </row>
    <row r="313" spans="1:9" ht="63">
      <c r="A313" s="372" t="s">
        <v>524</v>
      </c>
      <c r="B313" s="372" t="s">
        <v>30</v>
      </c>
      <c r="C313" s="372" t="s">
        <v>200</v>
      </c>
      <c r="D313" s="372" t="s">
        <v>6</v>
      </c>
      <c r="E313" s="372" t="s">
        <v>444</v>
      </c>
      <c r="F313" s="373"/>
      <c r="G313" s="197">
        <v>15.10074</v>
      </c>
      <c r="H313" s="197">
        <v>0</v>
      </c>
      <c r="I313" s="197">
        <v>0</v>
      </c>
    </row>
    <row r="314" spans="1:9" ht="31.5">
      <c r="A314" s="372" t="s">
        <v>509</v>
      </c>
      <c r="B314" s="372" t="s">
        <v>30</v>
      </c>
      <c r="C314" s="372" t="s">
        <v>200</v>
      </c>
      <c r="D314" s="372" t="s">
        <v>6</v>
      </c>
      <c r="E314" s="372" t="s">
        <v>445</v>
      </c>
      <c r="F314" s="373"/>
      <c r="G314" s="197">
        <v>15.10074</v>
      </c>
      <c r="H314" s="197">
        <v>0</v>
      </c>
      <c r="I314" s="197">
        <v>0</v>
      </c>
    </row>
    <row r="315" spans="1:9" ht="31.5">
      <c r="A315" s="372" t="s">
        <v>1441</v>
      </c>
      <c r="B315" s="372" t="s">
        <v>30</v>
      </c>
      <c r="C315" s="372" t="s">
        <v>200</v>
      </c>
      <c r="D315" s="372" t="s">
        <v>6</v>
      </c>
      <c r="E315" s="372" t="s">
        <v>445</v>
      </c>
      <c r="F315" s="373"/>
      <c r="G315" s="197">
        <v>15.10074</v>
      </c>
      <c r="H315" s="197">
        <v>0</v>
      </c>
      <c r="I315" s="197">
        <v>0</v>
      </c>
    </row>
    <row r="316" spans="1:9" ht="31.5">
      <c r="A316" s="372" t="s">
        <v>1186</v>
      </c>
      <c r="B316" s="372" t="s">
        <v>30</v>
      </c>
      <c r="C316" s="372" t="s">
        <v>200</v>
      </c>
      <c r="D316" s="372" t="s">
        <v>6</v>
      </c>
      <c r="E316" s="372" t="s">
        <v>1181</v>
      </c>
      <c r="F316" s="373"/>
      <c r="G316" s="197">
        <v>15.10074</v>
      </c>
      <c r="H316" s="197">
        <v>0</v>
      </c>
      <c r="I316" s="197">
        <v>0</v>
      </c>
    </row>
    <row r="317" spans="1:9" ht="63">
      <c r="A317" s="372" t="s">
        <v>758</v>
      </c>
      <c r="B317" s="372" t="s">
        <v>30</v>
      </c>
      <c r="C317" s="372" t="s">
        <v>200</v>
      </c>
      <c r="D317" s="372" t="s">
        <v>6</v>
      </c>
      <c r="E317" s="372" t="s">
        <v>1181</v>
      </c>
      <c r="F317" s="372" t="s">
        <v>266</v>
      </c>
      <c r="G317" s="197">
        <v>15.10074</v>
      </c>
      <c r="H317" s="197">
        <v>0</v>
      </c>
      <c r="I317" s="197">
        <v>0</v>
      </c>
    </row>
    <row r="318" spans="1:9" ht="63">
      <c r="A318" s="372" t="s">
        <v>525</v>
      </c>
      <c r="B318" s="372" t="s">
        <v>30</v>
      </c>
      <c r="C318" s="372" t="s">
        <v>202</v>
      </c>
      <c r="D318" s="373"/>
      <c r="E318" s="373"/>
      <c r="F318" s="373"/>
      <c r="G318" s="197">
        <v>17133.628720000001</v>
      </c>
      <c r="H318" s="197">
        <v>15486.454</v>
      </c>
      <c r="I318" s="197">
        <v>15486.454</v>
      </c>
    </row>
    <row r="319" spans="1:9" ht="63">
      <c r="A319" s="372" t="s">
        <v>526</v>
      </c>
      <c r="B319" s="372" t="s">
        <v>30</v>
      </c>
      <c r="C319" s="372" t="s">
        <v>202</v>
      </c>
      <c r="D319" s="372" t="s">
        <v>201</v>
      </c>
      <c r="E319" s="373"/>
      <c r="F319" s="373"/>
      <c r="G319" s="197">
        <v>17133.628720000001</v>
      </c>
      <c r="H319" s="197">
        <v>15486.454</v>
      </c>
      <c r="I319" s="197">
        <v>15486.454</v>
      </c>
    </row>
    <row r="320" spans="1:9" ht="110.25">
      <c r="A320" s="372" t="s">
        <v>1126</v>
      </c>
      <c r="B320" s="372" t="s">
        <v>30</v>
      </c>
      <c r="C320" s="372" t="s">
        <v>202</v>
      </c>
      <c r="D320" s="372" t="s">
        <v>201</v>
      </c>
      <c r="E320" s="372" t="s">
        <v>371</v>
      </c>
      <c r="F320" s="373"/>
      <c r="G320" s="197">
        <v>16934.157770000002</v>
      </c>
      <c r="H320" s="197">
        <v>15486.454</v>
      </c>
      <c r="I320" s="197">
        <v>15486.454</v>
      </c>
    </row>
    <row r="321" spans="1:9" ht="78.75">
      <c r="A321" s="372" t="s">
        <v>527</v>
      </c>
      <c r="B321" s="372" t="s">
        <v>30</v>
      </c>
      <c r="C321" s="372" t="s">
        <v>202</v>
      </c>
      <c r="D321" s="372" t="s">
        <v>201</v>
      </c>
      <c r="E321" s="372" t="s">
        <v>372</v>
      </c>
      <c r="F321" s="373"/>
      <c r="G321" s="197">
        <v>16609.402770000001</v>
      </c>
      <c r="H321" s="197">
        <v>15136.454</v>
      </c>
      <c r="I321" s="197">
        <v>15136.454</v>
      </c>
    </row>
    <row r="322" spans="1:9" ht="252">
      <c r="A322" s="372" t="s">
        <v>1127</v>
      </c>
      <c r="B322" s="372" t="s">
        <v>30</v>
      </c>
      <c r="C322" s="372" t="s">
        <v>202</v>
      </c>
      <c r="D322" s="372" t="s">
        <v>201</v>
      </c>
      <c r="E322" s="372" t="s">
        <v>373</v>
      </c>
      <c r="F322" s="373"/>
      <c r="G322" s="197">
        <v>16609.402770000001</v>
      </c>
      <c r="H322" s="197">
        <v>15136.454</v>
      </c>
      <c r="I322" s="197">
        <v>15136.454</v>
      </c>
    </row>
    <row r="323" spans="1:9" ht="189">
      <c r="A323" s="372" t="s">
        <v>1128</v>
      </c>
      <c r="B323" s="372" t="s">
        <v>30</v>
      </c>
      <c r="C323" s="372" t="s">
        <v>202</v>
      </c>
      <c r="D323" s="372" t="s">
        <v>201</v>
      </c>
      <c r="E323" s="372" t="s">
        <v>374</v>
      </c>
      <c r="F323" s="373"/>
      <c r="G323" s="197">
        <v>16550.54277</v>
      </c>
      <c r="H323" s="197">
        <v>15077.593999999999</v>
      </c>
      <c r="I323" s="197">
        <v>15077.593999999999</v>
      </c>
    </row>
    <row r="324" spans="1:9" ht="141.75">
      <c r="A324" s="372" t="s">
        <v>771</v>
      </c>
      <c r="B324" s="372" t="s">
        <v>30</v>
      </c>
      <c r="C324" s="372" t="s">
        <v>202</v>
      </c>
      <c r="D324" s="372" t="s">
        <v>201</v>
      </c>
      <c r="E324" s="372" t="s">
        <v>374</v>
      </c>
      <c r="F324" s="372" t="s">
        <v>265</v>
      </c>
      <c r="G324" s="197">
        <v>15072.127769999999</v>
      </c>
      <c r="H324" s="197">
        <v>13519.045</v>
      </c>
      <c r="I324" s="197">
        <v>13519.045</v>
      </c>
    </row>
    <row r="325" spans="1:9" ht="63">
      <c r="A325" s="372" t="s">
        <v>758</v>
      </c>
      <c r="B325" s="372" t="s">
        <v>30</v>
      </c>
      <c r="C325" s="372" t="s">
        <v>202</v>
      </c>
      <c r="D325" s="372" t="s">
        <v>201</v>
      </c>
      <c r="E325" s="372" t="s">
        <v>374</v>
      </c>
      <c r="F325" s="372" t="s">
        <v>266</v>
      </c>
      <c r="G325" s="197">
        <v>1418.5150000000001</v>
      </c>
      <c r="H325" s="197">
        <v>1478.6489999999999</v>
      </c>
      <c r="I325" s="197">
        <v>1478.6489999999999</v>
      </c>
    </row>
    <row r="326" spans="1:9" ht="31.5">
      <c r="A326" s="372" t="s">
        <v>772</v>
      </c>
      <c r="B326" s="372" t="s">
        <v>30</v>
      </c>
      <c r="C326" s="372" t="s">
        <v>202</v>
      </c>
      <c r="D326" s="372" t="s">
        <v>201</v>
      </c>
      <c r="E326" s="372" t="s">
        <v>374</v>
      </c>
      <c r="F326" s="372" t="s">
        <v>267</v>
      </c>
      <c r="G326" s="197">
        <v>59.9</v>
      </c>
      <c r="H326" s="197">
        <v>79.900000000000006</v>
      </c>
      <c r="I326" s="197">
        <v>79.900000000000006</v>
      </c>
    </row>
    <row r="327" spans="1:9" ht="78.75">
      <c r="A327" s="372" t="s">
        <v>1129</v>
      </c>
      <c r="B327" s="372" t="s">
        <v>30</v>
      </c>
      <c r="C327" s="372" t="s">
        <v>202</v>
      </c>
      <c r="D327" s="372" t="s">
        <v>201</v>
      </c>
      <c r="E327" s="372" t="s">
        <v>1034</v>
      </c>
      <c r="F327" s="373"/>
      <c r="G327" s="197">
        <v>58.86</v>
      </c>
      <c r="H327" s="197">
        <v>58.86</v>
      </c>
      <c r="I327" s="197">
        <v>58.86</v>
      </c>
    </row>
    <row r="328" spans="1:9" ht="63">
      <c r="A328" s="372" t="s">
        <v>758</v>
      </c>
      <c r="B328" s="372" t="s">
        <v>30</v>
      </c>
      <c r="C328" s="372" t="s">
        <v>202</v>
      </c>
      <c r="D328" s="372" t="s">
        <v>201</v>
      </c>
      <c r="E328" s="372" t="s">
        <v>1034</v>
      </c>
      <c r="F328" s="372" t="s">
        <v>266</v>
      </c>
      <c r="G328" s="197">
        <v>58.86</v>
      </c>
      <c r="H328" s="197">
        <v>58.86</v>
      </c>
      <c r="I328" s="197">
        <v>58.86</v>
      </c>
    </row>
    <row r="329" spans="1:9" ht="78.75">
      <c r="A329" s="372" t="s">
        <v>528</v>
      </c>
      <c r="B329" s="372" t="s">
        <v>30</v>
      </c>
      <c r="C329" s="372" t="s">
        <v>202</v>
      </c>
      <c r="D329" s="372" t="s">
        <v>201</v>
      </c>
      <c r="E329" s="372" t="s">
        <v>375</v>
      </c>
      <c r="F329" s="373"/>
      <c r="G329" s="197">
        <v>324.755</v>
      </c>
      <c r="H329" s="197">
        <v>350</v>
      </c>
      <c r="I329" s="197">
        <v>350</v>
      </c>
    </row>
    <row r="330" spans="1:9" ht="141.75">
      <c r="A330" s="372" t="s">
        <v>1462</v>
      </c>
      <c r="B330" s="372" t="s">
        <v>30</v>
      </c>
      <c r="C330" s="372" t="s">
        <v>202</v>
      </c>
      <c r="D330" s="372" t="s">
        <v>201</v>
      </c>
      <c r="E330" s="372" t="s">
        <v>376</v>
      </c>
      <c r="F330" s="373"/>
      <c r="G330" s="197">
        <v>324.755</v>
      </c>
      <c r="H330" s="197">
        <v>350</v>
      </c>
      <c r="I330" s="197">
        <v>350</v>
      </c>
    </row>
    <row r="331" spans="1:9" ht="78.75">
      <c r="A331" s="372" t="s">
        <v>1130</v>
      </c>
      <c r="B331" s="372" t="s">
        <v>30</v>
      </c>
      <c r="C331" s="372" t="s">
        <v>202</v>
      </c>
      <c r="D331" s="372" t="s">
        <v>201</v>
      </c>
      <c r="E331" s="372" t="s">
        <v>1036</v>
      </c>
      <c r="F331" s="373"/>
      <c r="G331" s="197">
        <v>324.755</v>
      </c>
      <c r="H331" s="197">
        <v>350</v>
      </c>
      <c r="I331" s="197">
        <v>350</v>
      </c>
    </row>
    <row r="332" spans="1:9" ht="63">
      <c r="A332" s="372" t="s">
        <v>758</v>
      </c>
      <c r="B332" s="372" t="s">
        <v>30</v>
      </c>
      <c r="C332" s="372" t="s">
        <v>202</v>
      </c>
      <c r="D332" s="372" t="s">
        <v>201</v>
      </c>
      <c r="E332" s="372" t="s">
        <v>1036</v>
      </c>
      <c r="F332" s="372" t="s">
        <v>266</v>
      </c>
      <c r="G332" s="197">
        <v>324.755</v>
      </c>
      <c r="H332" s="197">
        <v>350</v>
      </c>
      <c r="I332" s="197">
        <v>350</v>
      </c>
    </row>
    <row r="333" spans="1:9" ht="63">
      <c r="A333" s="372" t="s">
        <v>524</v>
      </c>
      <c r="B333" s="372" t="s">
        <v>30</v>
      </c>
      <c r="C333" s="372" t="s">
        <v>202</v>
      </c>
      <c r="D333" s="372" t="s">
        <v>201</v>
      </c>
      <c r="E333" s="372" t="s">
        <v>444</v>
      </c>
      <c r="F333" s="373"/>
      <c r="G333" s="197">
        <v>199.47094999999999</v>
      </c>
      <c r="H333" s="197">
        <v>0</v>
      </c>
      <c r="I333" s="197">
        <v>0</v>
      </c>
    </row>
    <row r="334" spans="1:9" ht="31.5">
      <c r="A334" s="372" t="s">
        <v>509</v>
      </c>
      <c r="B334" s="372" t="s">
        <v>30</v>
      </c>
      <c r="C334" s="372" t="s">
        <v>202</v>
      </c>
      <c r="D334" s="372" t="s">
        <v>201</v>
      </c>
      <c r="E334" s="372" t="s">
        <v>445</v>
      </c>
      <c r="F334" s="373"/>
      <c r="G334" s="197">
        <v>199.47094999999999</v>
      </c>
      <c r="H334" s="197">
        <v>0</v>
      </c>
      <c r="I334" s="197">
        <v>0</v>
      </c>
    </row>
    <row r="335" spans="1:9" ht="31.5">
      <c r="A335" s="372" t="s">
        <v>1441</v>
      </c>
      <c r="B335" s="372" t="s">
        <v>30</v>
      </c>
      <c r="C335" s="372" t="s">
        <v>202</v>
      </c>
      <c r="D335" s="372" t="s">
        <v>201</v>
      </c>
      <c r="E335" s="372" t="s">
        <v>445</v>
      </c>
      <c r="F335" s="373"/>
      <c r="G335" s="197">
        <v>199.47094999999999</v>
      </c>
      <c r="H335" s="197">
        <v>0</v>
      </c>
      <c r="I335" s="197">
        <v>0</v>
      </c>
    </row>
    <row r="336" spans="1:9" ht="31.5">
      <c r="A336" s="372" t="s">
        <v>1186</v>
      </c>
      <c r="B336" s="372" t="s">
        <v>30</v>
      </c>
      <c r="C336" s="372" t="s">
        <v>202</v>
      </c>
      <c r="D336" s="372" t="s">
        <v>201</v>
      </c>
      <c r="E336" s="372" t="s">
        <v>1181</v>
      </c>
      <c r="F336" s="373"/>
      <c r="G336" s="197">
        <v>199.47094999999999</v>
      </c>
      <c r="H336" s="197">
        <v>0</v>
      </c>
      <c r="I336" s="197">
        <v>0</v>
      </c>
    </row>
    <row r="337" spans="1:9" ht="63">
      <c r="A337" s="372" t="s">
        <v>758</v>
      </c>
      <c r="B337" s="372" t="s">
        <v>30</v>
      </c>
      <c r="C337" s="372" t="s">
        <v>202</v>
      </c>
      <c r="D337" s="372" t="s">
        <v>201</v>
      </c>
      <c r="E337" s="372" t="s">
        <v>1181</v>
      </c>
      <c r="F337" s="372" t="s">
        <v>266</v>
      </c>
      <c r="G337" s="197">
        <v>199.47094999999999</v>
      </c>
      <c r="H337" s="197">
        <v>0</v>
      </c>
      <c r="I337" s="197">
        <v>0</v>
      </c>
    </row>
    <row r="338" spans="1:9" ht="31.5">
      <c r="A338" s="372" t="s">
        <v>472</v>
      </c>
      <c r="B338" s="372" t="s">
        <v>30</v>
      </c>
      <c r="C338" s="372" t="s">
        <v>195</v>
      </c>
      <c r="D338" s="373"/>
      <c r="E338" s="373"/>
      <c r="F338" s="373"/>
      <c r="G338" s="197">
        <v>136229.65849999999</v>
      </c>
      <c r="H338" s="197">
        <v>67556.883799999996</v>
      </c>
      <c r="I338" s="197">
        <v>65190.850680000003</v>
      </c>
    </row>
    <row r="339" spans="1:9" ht="31.5">
      <c r="A339" s="372" t="s">
        <v>502</v>
      </c>
      <c r="B339" s="372" t="s">
        <v>30</v>
      </c>
      <c r="C339" s="372" t="s">
        <v>195</v>
      </c>
      <c r="D339" s="372" t="s">
        <v>4</v>
      </c>
      <c r="E339" s="373"/>
      <c r="F339" s="373"/>
      <c r="G339" s="197">
        <v>199.52600000000001</v>
      </c>
      <c r="H339" s="197">
        <v>104.23</v>
      </c>
      <c r="I339" s="197">
        <v>104.23</v>
      </c>
    </row>
    <row r="340" spans="1:9" ht="78.75">
      <c r="A340" s="372" t="s">
        <v>1131</v>
      </c>
      <c r="B340" s="372" t="s">
        <v>30</v>
      </c>
      <c r="C340" s="372" t="s">
        <v>195</v>
      </c>
      <c r="D340" s="372" t="s">
        <v>4</v>
      </c>
      <c r="E340" s="372" t="s">
        <v>389</v>
      </c>
      <c r="F340" s="373"/>
      <c r="G340" s="197">
        <v>199.52600000000001</v>
      </c>
      <c r="H340" s="197">
        <v>104.23</v>
      </c>
      <c r="I340" s="197">
        <v>104.23</v>
      </c>
    </row>
    <row r="341" spans="1:9" ht="78.75">
      <c r="A341" s="372" t="s">
        <v>1442</v>
      </c>
      <c r="B341" s="372" t="s">
        <v>30</v>
      </c>
      <c r="C341" s="372" t="s">
        <v>195</v>
      </c>
      <c r="D341" s="372" t="s">
        <v>4</v>
      </c>
      <c r="E341" s="372" t="s">
        <v>389</v>
      </c>
      <c r="F341" s="373"/>
      <c r="G341" s="197">
        <v>199.52600000000001</v>
      </c>
      <c r="H341" s="197">
        <v>104.23</v>
      </c>
      <c r="I341" s="197">
        <v>104.23</v>
      </c>
    </row>
    <row r="342" spans="1:9" ht="78.75">
      <c r="A342" s="372" t="s">
        <v>1463</v>
      </c>
      <c r="B342" s="372" t="s">
        <v>30</v>
      </c>
      <c r="C342" s="372" t="s">
        <v>195</v>
      </c>
      <c r="D342" s="372" t="s">
        <v>4</v>
      </c>
      <c r="E342" s="372" t="s">
        <v>1073</v>
      </c>
      <c r="F342" s="373"/>
      <c r="G342" s="197">
        <v>199.52600000000001</v>
      </c>
      <c r="H342" s="197">
        <v>104.23</v>
      </c>
      <c r="I342" s="197">
        <v>104.23</v>
      </c>
    </row>
    <row r="343" spans="1:9" ht="189">
      <c r="A343" s="372" t="s">
        <v>790</v>
      </c>
      <c r="B343" s="372" t="s">
        <v>30</v>
      </c>
      <c r="C343" s="372" t="s">
        <v>195</v>
      </c>
      <c r="D343" s="372" t="s">
        <v>4</v>
      </c>
      <c r="E343" s="372" t="s">
        <v>1074</v>
      </c>
      <c r="F343" s="373"/>
      <c r="G343" s="197">
        <v>199.52600000000001</v>
      </c>
      <c r="H343" s="197">
        <v>104.23</v>
      </c>
      <c r="I343" s="197">
        <v>104.23</v>
      </c>
    </row>
    <row r="344" spans="1:9" ht="63">
      <c r="A344" s="372" t="s">
        <v>755</v>
      </c>
      <c r="B344" s="372" t="s">
        <v>30</v>
      </c>
      <c r="C344" s="372" t="s">
        <v>195</v>
      </c>
      <c r="D344" s="372" t="s">
        <v>4</v>
      </c>
      <c r="E344" s="372" t="s">
        <v>1074</v>
      </c>
      <c r="F344" s="372" t="s">
        <v>268</v>
      </c>
      <c r="G344" s="197">
        <v>199.52600000000001</v>
      </c>
      <c r="H344" s="197">
        <v>104.23</v>
      </c>
      <c r="I344" s="197">
        <v>104.23</v>
      </c>
    </row>
    <row r="345" spans="1:9" ht="15.75">
      <c r="A345" s="372" t="s">
        <v>910</v>
      </c>
      <c r="B345" s="372" t="s">
        <v>30</v>
      </c>
      <c r="C345" s="372" t="s">
        <v>195</v>
      </c>
      <c r="D345" s="372" t="s">
        <v>204</v>
      </c>
      <c r="E345" s="373"/>
      <c r="F345" s="373"/>
      <c r="G345" s="197">
        <v>8934.11</v>
      </c>
      <c r="H345" s="197">
        <v>8922.1336499999998</v>
      </c>
      <c r="I345" s="197">
        <v>9235.2836499999994</v>
      </c>
    </row>
    <row r="346" spans="1:9" ht="63">
      <c r="A346" s="372" t="s">
        <v>503</v>
      </c>
      <c r="B346" s="372" t="s">
        <v>30</v>
      </c>
      <c r="C346" s="372" t="s">
        <v>195</v>
      </c>
      <c r="D346" s="372" t="s">
        <v>204</v>
      </c>
      <c r="E346" s="372" t="s">
        <v>386</v>
      </c>
      <c r="F346" s="373"/>
      <c r="G346" s="197">
        <v>8934.11</v>
      </c>
      <c r="H346" s="197">
        <v>8922.1336499999998</v>
      </c>
      <c r="I346" s="197">
        <v>9235.2836499999994</v>
      </c>
    </row>
    <row r="347" spans="1:9" ht="63">
      <c r="A347" s="372" t="s">
        <v>1132</v>
      </c>
      <c r="B347" s="372" t="s">
        <v>30</v>
      </c>
      <c r="C347" s="372" t="s">
        <v>195</v>
      </c>
      <c r="D347" s="372" t="s">
        <v>204</v>
      </c>
      <c r="E347" s="372" t="s">
        <v>1059</v>
      </c>
      <c r="F347" s="373"/>
      <c r="G347" s="197">
        <v>8934.11</v>
      </c>
      <c r="H347" s="197">
        <v>8922.1336499999998</v>
      </c>
      <c r="I347" s="197">
        <v>9235.2836499999994</v>
      </c>
    </row>
    <row r="348" spans="1:9" ht="47.25">
      <c r="A348" s="372" t="s">
        <v>1464</v>
      </c>
      <c r="B348" s="372" t="s">
        <v>30</v>
      </c>
      <c r="C348" s="372" t="s">
        <v>195</v>
      </c>
      <c r="D348" s="372" t="s">
        <v>204</v>
      </c>
      <c r="E348" s="372" t="s">
        <v>1060</v>
      </c>
      <c r="F348" s="373"/>
      <c r="G348" s="197">
        <v>8934.11</v>
      </c>
      <c r="H348" s="197">
        <v>8922.1336499999998</v>
      </c>
      <c r="I348" s="197">
        <v>9235.2836499999994</v>
      </c>
    </row>
    <row r="349" spans="1:9" ht="63">
      <c r="A349" s="372" t="s">
        <v>801</v>
      </c>
      <c r="B349" s="372" t="s">
        <v>30</v>
      </c>
      <c r="C349" s="372" t="s">
        <v>195</v>
      </c>
      <c r="D349" s="372" t="s">
        <v>204</v>
      </c>
      <c r="E349" s="372" t="s">
        <v>1061</v>
      </c>
      <c r="F349" s="373"/>
      <c r="G349" s="197">
        <v>8934.11</v>
      </c>
      <c r="H349" s="197">
        <v>8922.1336499999998</v>
      </c>
      <c r="I349" s="197">
        <v>9235.2836499999994</v>
      </c>
    </row>
    <row r="350" spans="1:9" ht="63">
      <c r="A350" s="372" t="s">
        <v>755</v>
      </c>
      <c r="B350" s="372" t="s">
        <v>30</v>
      </c>
      <c r="C350" s="372" t="s">
        <v>195</v>
      </c>
      <c r="D350" s="372" t="s">
        <v>204</v>
      </c>
      <c r="E350" s="372" t="s">
        <v>1061</v>
      </c>
      <c r="F350" s="372" t="s">
        <v>268</v>
      </c>
      <c r="G350" s="197">
        <v>8934.11</v>
      </c>
      <c r="H350" s="197">
        <v>8922.1336499999998</v>
      </c>
      <c r="I350" s="197">
        <v>9235.2836499999994</v>
      </c>
    </row>
    <row r="351" spans="1:9" ht="31.5">
      <c r="A351" s="372" t="s">
        <v>505</v>
      </c>
      <c r="B351" s="372" t="s">
        <v>30</v>
      </c>
      <c r="C351" s="372" t="s">
        <v>195</v>
      </c>
      <c r="D351" s="372" t="s">
        <v>201</v>
      </c>
      <c r="E351" s="373"/>
      <c r="F351" s="373"/>
      <c r="G351" s="197">
        <v>127096.02250000001</v>
      </c>
      <c r="H351" s="197">
        <v>58530.520149999997</v>
      </c>
      <c r="I351" s="197">
        <v>55851.337030000002</v>
      </c>
    </row>
    <row r="352" spans="1:9" ht="63">
      <c r="A352" s="372" t="s">
        <v>506</v>
      </c>
      <c r="B352" s="372" t="s">
        <v>30</v>
      </c>
      <c r="C352" s="372" t="s">
        <v>195</v>
      </c>
      <c r="D352" s="372" t="s">
        <v>201</v>
      </c>
      <c r="E352" s="372" t="s">
        <v>364</v>
      </c>
      <c r="F352" s="373"/>
      <c r="G352" s="197">
        <v>123355.13967999999</v>
      </c>
      <c r="H352" s="197">
        <v>58530.520149999997</v>
      </c>
      <c r="I352" s="197">
        <v>55851.337030000002</v>
      </c>
    </row>
    <row r="353" spans="1:9" ht="110.25">
      <c r="A353" s="372" t="s">
        <v>507</v>
      </c>
      <c r="B353" s="372" t="s">
        <v>30</v>
      </c>
      <c r="C353" s="372" t="s">
        <v>195</v>
      </c>
      <c r="D353" s="372" t="s">
        <v>201</v>
      </c>
      <c r="E353" s="372" t="s">
        <v>365</v>
      </c>
      <c r="F353" s="373"/>
      <c r="G353" s="197">
        <v>78054.233680000005</v>
      </c>
      <c r="H353" s="197">
        <v>58530.520149999997</v>
      </c>
      <c r="I353" s="197">
        <v>55851.337030000002</v>
      </c>
    </row>
    <row r="354" spans="1:9" ht="126">
      <c r="A354" s="372" t="s">
        <v>791</v>
      </c>
      <c r="B354" s="372" t="s">
        <v>30</v>
      </c>
      <c r="C354" s="372" t="s">
        <v>195</v>
      </c>
      <c r="D354" s="372" t="s">
        <v>201</v>
      </c>
      <c r="E354" s="372" t="s">
        <v>366</v>
      </c>
      <c r="F354" s="373"/>
      <c r="G354" s="197">
        <v>78054.233680000005</v>
      </c>
      <c r="H354" s="197">
        <v>58530.520149999997</v>
      </c>
      <c r="I354" s="197">
        <v>55851.337030000002</v>
      </c>
    </row>
    <row r="355" spans="1:9" ht="47.25">
      <c r="A355" s="372" t="s">
        <v>880</v>
      </c>
      <c r="B355" s="372" t="s">
        <v>30</v>
      </c>
      <c r="C355" s="372" t="s">
        <v>195</v>
      </c>
      <c r="D355" s="372" t="s">
        <v>201</v>
      </c>
      <c r="E355" s="372" t="s">
        <v>877</v>
      </c>
      <c r="F355" s="373"/>
      <c r="G355" s="197">
        <v>4493.0529999999999</v>
      </c>
      <c r="H355" s="197">
        <v>4089.6871999999998</v>
      </c>
      <c r="I355" s="197">
        <v>4089.6871999999998</v>
      </c>
    </row>
    <row r="356" spans="1:9" ht="63">
      <c r="A356" s="372" t="s">
        <v>755</v>
      </c>
      <c r="B356" s="372" t="s">
        <v>30</v>
      </c>
      <c r="C356" s="372" t="s">
        <v>195</v>
      </c>
      <c r="D356" s="372" t="s">
        <v>201</v>
      </c>
      <c r="E356" s="372" t="s">
        <v>877</v>
      </c>
      <c r="F356" s="372" t="s">
        <v>268</v>
      </c>
      <c r="G356" s="197">
        <v>4493.0529999999999</v>
      </c>
      <c r="H356" s="197">
        <v>4089.6871999999998</v>
      </c>
      <c r="I356" s="197">
        <v>4089.6871999999998</v>
      </c>
    </row>
    <row r="357" spans="1:9" ht="110.25">
      <c r="A357" s="372" t="s">
        <v>792</v>
      </c>
      <c r="B357" s="372" t="s">
        <v>30</v>
      </c>
      <c r="C357" s="372" t="s">
        <v>195</v>
      </c>
      <c r="D357" s="372" t="s">
        <v>201</v>
      </c>
      <c r="E357" s="372" t="s">
        <v>367</v>
      </c>
      <c r="F357" s="373"/>
      <c r="G357" s="197">
        <v>64541.751109999997</v>
      </c>
      <c r="H357" s="197">
        <v>51637.59938</v>
      </c>
      <c r="I357" s="197">
        <v>48958.416259999998</v>
      </c>
    </row>
    <row r="358" spans="1:9" ht="63">
      <c r="A358" s="372" t="s">
        <v>755</v>
      </c>
      <c r="B358" s="372" t="s">
        <v>30</v>
      </c>
      <c r="C358" s="372" t="s">
        <v>195</v>
      </c>
      <c r="D358" s="372" t="s">
        <v>201</v>
      </c>
      <c r="E358" s="372" t="s">
        <v>367</v>
      </c>
      <c r="F358" s="372" t="s">
        <v>268</v>
      </c>
      <c r="G358" s="197">
        <v>64541.751109999997</v>
      </c>
      <c r="H358" s="197">
        <v>51637.59938</v>
      </c>
      <c r="I358" s="197">
        <v>48958.416259999998</v>
      </c>
    </row>
    <row r="359" spans="1:9" ht="31.5">
      <c r="A359" s="372" t="s">
        <v>793</v>
      </c>
      <c r="B359" s="372" t="s">
        <v>30</v>
      </c>
      <c r="C359" s="372" t="s">
        <v>195</v>
      </c>
      <c r="D359" s="372" t="s">
        <v>201</v>
      </c>
      <c r="E359" s="372" t="s">
        <v>437</v>
      </c>
      <c r="F359" s="373"/>
      <c r="G359" s="197">
        <v>2803.2335699999999</v>
      </c>
      <c r="H359" s="197">
        <v>2803.2335699999999</v>
      </c>
      <c r="I359" s="197">
        <v>2803.2335699999999</v>
      </c>
    </row>
    <row r="360" spans="1:9" ht="63">
      <c r="A360" s="372" t="s">
        <v>755</v>
      </c>
      <c r="B360" s="372" t="s">
        <v>30</v>
      </c>
      <c r="C360" s="372" t="s">
        <v>195</v>
      </c>
      <c r="D360" s="372" t="s">
        <v>201</v>
      </c>
      <c r="E360" s="372" t="s">
        <v>437</v>
      </c>
      <c r="F360" s="372" t="s">
        <v>268</v>
      </c>
      <c r="G360" s="197">
        <v>2803.2335699999999</v>
      </c>
      <c r="H360" s="197">
        <v>2803.2335699999999</v>
      </c>
      <c r="I360" s="197">
        <v>2803.2335699999999</v>
      </c>
    </row>
    <row r="361" spans="1:9" ht="47.25">
      <c r="A361" s="372" t="s">
        <v>1187</v>
      </c>
      <c r="B361" s="372" t="s">
        <v>30</v>
      </c>
      <c r="C361" s="372" t="s">
        <v>195</v>
      </c>
      <c r="D361" s="372" t="s">
        <v>201</v>
      </c>
      <c r="E361" s="372" t="s">
        <v>1169</v>
      </c>
      <c r="F361" s="373"/>
      <c r="G361" s="197">
        <v>626</v>
      </c>
      <c r="H361" s="197">
        <v>0</v>
      </c>
      <c r="I361" s="197">
        <v>0</v>
      </c>
    </row>
    <row r="362" spans="1:9" ht="63">
      <c r="A362" s="372" t="s">
        <v>755</v>
      </c>
      <c r="B362" s="372" t="s">
        <v>30</v>
      </c>
      <c r="C362" s="372" t="s">
        <v>195</v>
      </c>
      <c r="D362" s="372" t="s">
        <v>201</v>
      </c>
      <c r="E362" s="372" t="s">
        <v>1169</v>
      </c>
      <c r="F362" s="372" t="s">
        <v>268</v>
      </c>
      <c r="G362" s="197">
        <v>626</v>
      </c>
      <c r="H362" s="197">
        <v>0</v>
      </c>
      <c r="I362" s="197">
        <v>0</v>
      </c>
    </row>
    <row r="363" spans="1:9" ht="110.25">
      <c r="A363" s="372" t="s">
        <v>925</v>
      </c>
      <c r="B363" s="372" t="s">
        <v>30</v>
      </c>
      <c r="C363" s="372" t="s">
        <v>195</v>
      </c>
      <c r="D363" s="372" t="s">
        <v>201</v>
      </c>
      <c r="E363" s="372" t="s">
        <v>1450</v>
      </c>
      <c r="F363" s="373"/>
      <c r="G363" s="197">
        <v>5590.1959999999999</v>
      </c>
      <c r="H363" s="197">
        <v>0</v>
      </c>
      <c r="I363" s="197">
        <v>0</v>
      </c>
    </row>
    <row r="364" spans="1:9" ht="63">
      <c r="A364" s="372" t="s">
        <v>755</v>
      </c>
      <c r="B364" s="372" t="s">
        <v>30</v>
      </c>
      <c r="C364" s="372" t="s">
        <v>195</v>
      </c>
      <c r="D364" s="372" t="s">
        <v>201</v>
      </c>
      <c r="E364" s="372" t="s">
        <v>1450</v>
      </c>
      <c r="F364" s="372" t="s">
        <v>268</v>
      </c>
      <c r="G364" s="197">
        <v>5590.1959999999999</v>
      </c>
      <c r="H364" s="197">
        <v>0</v>
      </c>
      <c r="I364" s="197">
        <v>0</v>
      </c>
    </row>
    <row r="365" spans="1:9" ht="94.5">
      <c r="A365" s="372" t="s">
        <v>508</v>
      </c>
      <c r="B365" s="372" t="s">
        <v>30</v>
      </c>
      <c r="C365" s="372" t="s">
        <v>195</v>
      </c>
      <c r="D365" s="372" t="s">
        <v>201</v>
      </c>
      <c r="E365" s="372" t="s">
        <v>368</v>
      </c>
      <c r="F365" s="373"/>
      <c r="G365" s="197">
        <v>45300.906000000003</v>
      </c>
      <c r="H365" s="197">
        <v>0</v>
      </c>
      <c r="I365" s="197">
        <v>0</v>
      </c>
    </row>
    <row r="366" spans="1:9" ht="141.75">
      <c r="A366" s="372" t="s">
        <v>1465</v>
      </c>
      <c r="B366" s="372" t="s">
        <v>30</v>
      </c>
      <c r="C366" s="372" t="s">
        <v>195</v>
      </c>
      <c r="D366" s="372" t="s">
        <v>201</v>
      </c>
      <c r="E366" s="372" t="s">
        <v>369</v>
      </c>
      <c r="F366" s="373"/>
      <c r="G366" s="197">
        <v>45300.906000000003</v>
      </c>
      <c r="H366" s="197">
        <v>0</v>
      </c>
      <c r="I366" s="197">
        <v>0</v>
      </c>
    </row>
    <row r="367" spans="1:9" ht="47.25">
      <c r="A367" s="372" t="s">
        <v>1187</v>
      </c>
      <c r="B367" s="372" t="s">
        <v>30</v>
      </c>
      <c r="C367" s="372" t="s">
        <v>195</v>
      </c>
      <c r="D367" s="372" t="s">
        <v>201</v>
      </c>
      <c r="E367" s="372" t="s">
        <v>1170</v>
      </c>
      <c r="F367" s="373"/>
      <c r="G367" s="197">
        <v>3431.3679999999999</v>
      </c>
      <c r="H367" s="197">
        <v>0</v>
      </c>
      <c r="I367" s="197">
        <v>0</v>
      </c>
    </row>
    <row r="368" spans="1:9" ht="63">
      <c r="A368" s="372" t="s">
        <v>758</v>
      </c>
      <c r="B368" s="372" t="s">
        <v>30</v>
      </c>
      <c r="C368" s="372" t="s">
        <v>195</v>
      </c>
      <c r="D368" s="372" t="s">
        <v>201</v>
      </c>
      <c r="E368" s="372" t="s">
        <v>1170</v>
      </c>
      <c r="F368" s="372" t="s">
        <v>266</v>
      </c>
      <c r="G368" s="197">
        <v>1137.3679999999999</v>
      </c>
      <c r="H368" s="197">
        <v>0</v>
      </c>
      <c r="I368" s="197">
        <v>0</v>
      </c>
    </row>
    <row r="369" spans="1:9" ht="63">
      <c r="A369" s="372" t="s">
        <v>755</v>
      </c>
      <c r="B369" s="372" t="s">
        <v>30</v>
      </c>
      <c r="C369" s="372" t="s">
        <v>195</v>
      </c>
      <c r="D369" s="372" t="s">
        <v>201</v>
      </c>
      <c r="E369" s="372" t="s">
        <v>1170</v>
      </c>
      <c r="F369" s="372" t="s">
        <v>268</v>
      </c>
      <c r="G369" s="197">
        <v>2294</v>
      </c>
      <c r="H369" s="197">
        <v>0</v>
      </c>
      <c r="I369" s="197">
        <v>0</v>
      </c>
    </row>
    <row r="370" spans="1:9" ht="78.75">
      <c r="A370" s="372" t="s">
        <v>1384</v>
      </c>
      <c r="B370" s="372" t="s">
        <v>30</v>
      </c>
      <c r="C370" s="372" t="s">
        <v>195</v>
      </c>
      <c r="D370" s="372" t="s">
        <v>201</v>
      </c>
      <c r="E370" s="372" t="s">
        <v>1382</v>
      </c>
      <c r="F370" s="373"/>
      <c r="G370" s="197">
        <v>7093.98</v>
      </c>
      <c r="H370" s="197">
        <v>0</v>
      </c>
      <c r="I370" s="197">
        <v>0</v>
      </c>
    </row>
    <row r="371" spans="1:9" ht="63">
      <c r="A371" s="372" t="s">
        <v>758</v>
      </c>
      <c r="B371" s="372" t="s">
        <v>30</v>
      </c>
      <c r="C371" s="372" t="s">
        <v>195</v>
      </c>
      <c r="D371" s="372" t="s">
        <v>201</v>
      </c>
      <c r="E371" s="372" t="s">
        <v>1382</v>
      </c>
      <c r="F371" s="372" t="s">
        <v>266</v>
      </c>
      <c r="G371" s="197">
        <v>7093.98</v>
      </c>
      <c r="H371" s="197">
        <v>0</v>
      </c>
      <c r="I371" s="197">
        <v>0</v>
      </c>
    </row>
    <row r="372" spans="1:9" ht="110.25">
      <c r="A372" s="372" t="s">
        <v>925</v>
      </c>
      <c r="B372" s="372" t="s">
        <v>30</v>
      </c>
      <c r="C372" s="372" t="s">
        <v>195</v>
      </c>
      <c r="D372" s="372" t="s">
        <v>201</v>
      </c>
      <c r="E372" s="372" t="s">
        <v>688</v>
      </c>
      <c r="F372" s="373"/>
      <c r="G372" s="197">
        <v>34775.557999999997</v>
      </c>
      <c r="H372" s="197">
        <v>0</v>
      </c>
      <c r="I372" s="197">
        <v>0</v>
      </c>
    </row>
    <row r="373" spans="1:9" ht="63">
      <c r="A373" s="372" t="s">
        <v>755</v>
      </c>
      <c r="B373" s="372" t="s">
        <v>30</v>
      </c>
      <c r="C373" s="372" t="s">
        <v>195</v>
      </c>
      <c r="D373" s="372" t="s">
        <v>201</v>
      </c>
      <c r="E373" s="372" t="s">
        <v>688</v>
      </c>
      <c r="F373" s="372" t="s">
        <v>268</v>
      </c>
      <c r="G373" s="197">
        <v>34775.557999999997</v>
      </c>
      <c r="H373" s="197">
        <v>0</v>
      </c>
      <c r="I373" s="197">
        <v>0</v>
      </c>
    </row>
    <row r="374" spans="1:9" ht="47.25">
      <c r="A374" s="372" t="s">
        <v>1273</v>
      </c>
      <c r="B374" s="372" t="s">
        <v>30</v>
      </c>
      <c r="C374" s="372" t="s">
        <v>195</v>
      </c>
      <c r="D374" s="372" t="s">
        <v>201</v>
      </c>
      <c r="E374" s="372" t="s">
        <v>1266</v>
      </c>
      <c r="F374" s="373"/>
      <c r="G374" s="197">
        <v>1052.6320000000001</v>
      </c>
      <c r="H374" s="197">
        <v>0</v>
      </c>
      <c r="I374" s="197">
        <v>0</v>
      </c>
    </row>
    <row r="375" spans="1:9" ht="31.5">
      <c r="A375" s="372" t="s">
        <v>509</v>
      </c>
      <c r="B375" s="372" t="s">
        <v>30</v>
      </c>
      <c r="C375" s="372" t="s">
        <v>195</v>
      </c>
      <c r="D375" s="372" t="s">
        <v>201</v>
      </c>
      <c r="E375" s="372" t="s">
        <v>1267</v>
      </c>
      <c r="F375" s="373"/>
      <c r="G375" s="197">
        <v>1052.6320000000001</v>
      </c>
      <c r="H375" s="197">
        <v>0</v>
      </c>
      <c r="I375" s="197">
        <v>0</v>
      </c>
    </row>
    <row r="376" spans="1:9" ht="31.5">
      <c r="A376" s="372" t="s">
        <v>1441</v>
      </c>
      <c r="B376" s="372" t="s">
        <v>30</v>
      </c>
      <c r="C376" s="372" t="s">
        <v>195</v>
      </c>
      <c r="D376" s="372" t="s">
        <v>201</v>
      </c>
      <c r="E376" s="372" t="s">
        <v>1267</v>
      </c>
      <c r="F376" s="373"/>
      <c r="G376" s="197">
        <v>1052.6320000000001</v>
      </c>
      <c r="H376" s="197">
        <v>0</v>
      </c>
      <c r="I376" s="197">
        <v>0</v>
      </c>
    </row>
    <row r="377" spans="1:9" ht="63">
      <c r="A377" s="372" t="s">
        <v>1371</v>
      </c>
      <c r="B377" s="372" t="s">
        <v>30</v>
      </c>
      <c r="C377" s="372" t="s">
        <v>195</v>
      </c>
      <c r="D377" s="372" t="s">
        <v>201</v>
      </c>
      <c r="E377" s="372" t="s">
        <v>1367</v>
      </c>
      <c r="F377" s="373"/>
      <c r="G377" s="197">
        <v>1052.6320000000001</v>
      </c>
      <c r="H377" s="197">
        <v>0</v>
      </c>
      <c r="I377" s="197">
        <v>0</v>
      </c>
    </row>
    <row r="378" spans="1:9" ht="63">
      <c r="A378" s="372" t="s">
        <v>758</v>
      </c>
      <c r="B378" s="372" t="s">
        <v>30</v>
      </c>
      <c r="C378" s="372" t="s">
        <v>195</v>
      </c>
      <c r="D378" s="372" t="s">
        <v>201</v>
      </c>
      <c r="E378" s="372" t="s">
        <v>1367</v>
      </c>
      <c r="F378" s="372" t="s">
        <v>266</v>
      </c>
      <c r="G378" s="197">
        <v>1052.6320000000001</v>
      </c>
      <c r="H378" s="197">
        <v>0</v>
      </c>
      <c r="I378" s="197">
        <v>0</v>
      </c>
    </row>
    <row r="379" spans="1:9" ht="63">
      <c r="A379" s="372" t="s">
        <v>524</v>
      </c>
      <c r="B379" s="372" t="s">
        <v>30</v>
      </c>
      <c r="C379" s="372" t="s">
        <v>195</v>
      </c>
      <c r="D379" s="372" t="s">
        <v>201</v>
      </c>
      <c r="E379" s="372" t="s">
        <v>444</v>
      </c>
      <c r="F379" s="373"/>
      <c r="G379" s="197">
        <v>2688.2508200000002</v>
      </c>
      <c r="H379" s="197">
        <v>0</v>
      </c>
      <c r="I379" s="197">
        <v>0</v>
      </c>
    </row>
    <row r="380" spans="1:9" ht="31.5">
      <c r="A380" s="372" t="s">
        <v>509</v>
      </c>
      <c r="B380" s="372" t="s">
        <v>30</v>
      </c>
      <c r="C380" s="372" t="s">
        <v>195</v>
      </c>
      <c r="D380" s="372" t="s">
        <v>201</v>
      </c>
      <c r="E380" s="372" t="s">
        <v>445</v>
      </c>
      <c r="F380" s="373"/>
      <c r="G380" s="197">
        <v>2688.2508200000002</v>
      </c>
      <c r="H380" s="197">
        <v>0</v>
      </c>
      <c r="I380" s="197">
        <v>0</v>
      </c>
    </row>
    <row r="381" spans="1:9" ht="31.5">
      <c r="A381" s="372" t="s">
        <v>1441</v>
      </c>
      <c r="B381" s="372" t="s">
        <v>30</v>
      </c>
      <c r="C381" s="372" t="s">
        <v>195</v>
      </c>
      <c r="D381" s="372" t="s">
        <v>201</v>
      </c>
      <c r="E381" s="372" t="s">
        <v>445</v>
      </c>
      <c r="F381" s="373"/>
      <c r="G381" s="197">
        <v>2688.2508200000002</v>
      </c>
      <c r="H381" s="197">
        <v>0</v>
      </c>
      <c r="I381" s="197">
        <v>0</v>
      </c>
    </row>
    <row r="382" spans="1:9" ht="31.5">
      <c r="A382" s="372" t="s">
        <v>1186</v>
      </c>
      <c r="B382" s="372" t="s">
        <v>30</v>
      </c>
      <c r="C382" s="372" t="s">
        <v>195</v>
      </c>
      <c r="D382" s="372" t="s">
        <v>201</v>
      </c>
      <c r="E382" s="372" t="s">
        <v>1181</v>
      </c>
      <c r="F382" s="373"/>
      <c r="G382" s="197">
        <v>2688.2508200000002</v>
      </c>
      <c r="H382" s="197">
        <v>0</v>
      </c>
      <c r="I382" s="197">
        <v>0</v>
      </c>
    </row>
    <row r="383" spans="1:9" ht="63">
      <c r="A383" s="372" t="s">
        <v>755</v>
      </c>
      <c r="B383" s="372" t="s">
        <v>30</v>
      </c>
      <c r="C383" s="372" t="s">
        <v>195</v>
      </c>
      <c r="D383" s="372" t="s">
        <v>201</v>
      </c>
      <c r="E383" s="372" t="s">
        <v>1181</v>
      </c>
      <c r="F383" s="372" t="s">
        <v>268</v>
      </c>
      <c r="G383" s="197">
        <v>2688.2508200000002</v>
      </c>
      <c r="H383" s="197">
        <v>0</v>
      </c>
      <c r="I383" s="197">
        <v>0</v>
      </c>
    </row>
    <row r="384" spans="1:9" ht="31.5">
      <c r="A384" s="372" t="s">
        <v>510</v>
      </c>
      <c r="B384" s="372" t="s">
        <v>30</v>
      </c>
      <c r="C384" s="372" t="s">
        <v>4</v>
      </c>
      <c r="D384" s="373"/>
      <c r="E384" s="373"/>
      <c r="F384" s="373"/>
      <c r="G384" s="197">
        <v>180049.91151000001</v>
      </c>
      <c r="H384" s="197">
        <v>46479.405939999997</v>
      </c>
      <c r="I384" s="197">
        <v>46479.405939999997</v>
      </c>
    </row>
    <row r="385" spans="1:9" ht="15.75">
      <c r="A385" s="372" t="s">
        <v>511</v>
      </c>
      <c r="B385" s="372" t="s">
        <v>30</v>
      </c>
      <c r="C385" s="372" t="s">
        <v>4</v>
      </c>
      <c r="D385" s="372" t="s">
        <v>200</v>
      </c>
      <c r="E385" s="373"/>
      <c r="F385" s="373"/>
      <c r="G385" s="197">
        <v>625.03099999999995</v>
      </c>
      <c r="H385" s="197">
        <v>400</v>
      </c>
      <c r="I385" s="197">
        <v>400</v>
      </c>
    </row>
    <row r="386" spans="1:9" ht="110.25">
      <c r="A386" s="372" t="s">
        <v>500</v>
      </c>
      <c r="B386" s="372" t="s">
        <v>30</v>
      </c>
      <c r="C386" s="372" t="s">
        <v>4</v>
      </c>
      <c r="D386" s="372" t="s">
        <v>200</v>
      </c>
      <c r="E386" s="372" t="s">
        <v>353</v>
      </c>
      <c r="F386" s="373"/>
      <c r="G386" s="197">
        <v>400</v>
      </c>
      <c r="H386" s="197">
        <v>400</v>
      </c>
      <c r="I386" s="197">
        <v>400</v>
      </c>
    </row>
    <row r="387" spans="1:9" ht="15.75">
      <c r="A387" s="372" t="s">
        <v>501</v>
      </c>
      <c r="B387" s="372" t="s">
        <v>30</v>
      </c>
      <c r="C387" s="372" t="s">
        <v>4</v>
      </c>
      <c r="D387" s="372" t="s">
        <v>200</v>
      </c>
      <c r="E387" s="372" t="s">
        <v>354</v>
      </c>
      <c r="F387" s="373"/>
      <c r="G387" s="197">
        <v>400</v>
      </c>
      <c r="H387" s="197">
        <v>400</v>
      </c>
      <c r="I387" s="197">
        <v>400</v>
      </c>
    </row>
    <row r="388" spans="1:9" ht="236.25">
      <c r="A388" s="372" t="s">
        <v>1466</v>
      </c>
      <c r="B388" s="372" t="s">
        <v>30</v>
      </c>
      <c r="C388" s="372" t="s">
        <v>4</v>
      </c>
      <c r="D388" s="372" t="s">
        <v>200</v>
      </c>
      <c r="E388" s="372" t="s">
        <v>355</v>
      </c>
      <c r="F388" s="373"/>
      <c r="G388" s="197">
        <v>400</v>
      </c>
      <c r="H388" s="197">
        <v>400</v>
      </c>
      <c r="I388" s="197">
        <v>400</v>
      </c>
    </row>
    <row r="389" spans="1:9" ht="47.25">
      <c r="A389" s="372" t="s">
        <v>797</v>
      </c>
      <c r="B389" s="372" t="s">
        <v>30</v>
      </c>
      <c r="C389" s="372" t="s">
        <v>4</v>
      </c>
      <c r="D389" s="372" t="s">
        <v>200</v>
      </c>
      <c r="E389" s="372" t="s">
        <v>360</v>
      </c>
      <c r="F389" s="373"/>
      <c r="G389" s="197">
        <v>400</v>
      </c>
      <c r="H389" s="197">
        <v>400</v>
      </c>
      <c r="I389" s="197">
        <v>400</v>
      </c>
    </row>
    <row r="390" spans="1:9" ht="63">
      <c r="A390" s="372" t="s">
        <v>758</v>
      </c>
      <c r="B390" s="372" t="s">
        <v>30</v>
      </c>
      <c r="C390" s="372" t="s">
        <v>4</v>
      </c>
      <c r="D390" s="372" t="s">
        <v>200</v>
      </c>
      <c r="E390" s="372" t="s">
        <v>360</v>
      </c>
      <c r="F390" s="372" t="s">
        <v>266</v>
      </c>
      <c r="G390" s="197">
        <v>400</v>
      </c>
      <c r="H390" s="197">
        <v>400</v>
      </c>
      <c r="I390" s="197">
        <v>400</v>
      </c>
    </row>
    <row r="391" spans="1:9" ht="63">
      <c r="A391" s="372" t="s">
        <v>524</v>
      </c>
      <c r="B391" s="372" t="s">
        <v>30</v>
      </c>
      <c r="C391" s="372" t="s">
        <v>4</v>
      </c>
      <c r="D391" s="372" t="s">
        <v>200</v>
      </c>
      <c r="E391" s="372" t="s">
        <v>444</v>
      </c>
      <c r="F391" s="373"/>
      <c r="G391" s="197">
        <v>225.03100000000001</v>
      </c>
      <c r="H391" s="197">
        <v>0</v>
      </c>
      <c r="I391" s="197">
        <v>0</v>
      </c>
    </row>
    <row r="392" spans="1:9" ht="31.5">
      <c r="A392" s="372" t="s">
        <v>509</v>
      </c>
      <c r="B392" s="372" t="s">
        <v>30</v>
      </c>
      <c r="C392" s="372" t="s">
        <v>4</v>
      </c>
      <c r="D392" s="372" t="s">
        <v>200</v>
      </c>
      <c r="E392" s="372" t="s">
        <v>445</v>
      </c>
      <c r="F392" s="373"/>
      <c r="G392" s="197">
        <v>225.03100000000001</v>
      </c>
      <c r="H392" s="197">
        <v>0</v>
      </c>
      <c r="I392" s="197">
        <v>0</v>
      </c>
    </row>
    <row r="393" spans="1:9" ht="31.5">
      <c r="A393" s="372" t="s">
        <v>1441</v>
      </c>
      <c r="B393" s="372" t="s">
        <v>30</v>
      </c>
      <c r="C393" s="372" t="s">
        <v>4</v>
      </c>
      <c r="D393" s="372" t="s">
        <v>200</v>
      </c>
      <c r="E393" s="372" t="s">
        <v>445</v>
      </c>
      <c r="F393" s="373"/>
      <c r="G393" s="197">
        <v>225.03100000000001</v>
      </c>
      <c r="H393" s="197">
        <v>0</v>
      </c>
      <c r="I393" s="197">
        <v>0</v>
      </c>
    </row>
    <row r="394" spans="1:9" ht="110.25">
      <c r="A394" s="372" t="s">
        <v>1397</v>
      </c>
      <c r="B394" s="372" t="s">
        <v>30</v>
      </c>
      <c r="C394" s="372" t="s">
        <v>4</v>
      </c>
      <c r="D394" s="372" t="s">
        <v>200</v>
      </c>
      <c r="E394" s="372" t="s">
        <v>1396</v>
      </c>
      <c r="F394" s="373"/>
      <c r="G394" s="197">
        <v>225.03100000000001</v>
      </c>
      <c r="H394" s="197">
        <v>0</v>
      </c>
      <c r="I394" s="197">
        <v>0</v>
      </c>
    </row>
    <row r="395" spans="1:9" ht="63">
      <c r="A395" s="372" t="s">
        <v>758</v>
      </c>
      <c r="B395" s="372" t="s">
        <v>30</v>
      </c>
      <c r="C395" s="372" t="s">
        <v>4</v>
      </c>
      <c r="D395" s="372" t="s">
        <v>200</v>
      </c>
      <c r="E395" s="372" t="s">
        <v>1396</v>
      </c>
      <c r="F395" s="372" t="s">
        <v>266</v>
      </c>
      <c r="G395" s="197">
        <v>225.03100000000001</v>
      </c>
      <c r="H395" s="197">
        <v>0</v>
      </c>
      <c r="I395" s="197">
        <v>0</v>
      </c>
    </row>
    <row r="396" spans="1:9" ht="15.75">
      <c r="A396" s="372" t="s">
        <v>1188</v>
      </c>
      <c r="B396" s="372" t="s">
        <v>30</v>
      </c>
      <c r="C396" s="372" t="s">
        <v>4</v>
      </c>
      <c r="D396" s="372" t="s">
        <v>198</v>
      </c>
      <c r="E396" s="373"/>
      <c r="F396" s="373"/>
      <c r="G396" s="197">
        <v>10351.540000000001</v>
      </c>
      <c r="H396" s="197">
        <v>0</v>
      </c>
      <c r="I396" s="197">
        <v>0</v>
      </c>
    </row>
    <row r="397" spans="1:9" ht="110.25">
      <c r="A397" s="372" t="s">
        <v>500</v>
      </c>
      <c r="B397" s="372" t="s">
        <v>30</v>
      </c>
      <c r="C397" s="372" t="s">
        <v>4</v>
      </c>
      <c r="D397" s="372" t="s">
        <v>198</v>
      </c>
      <c r="E397" s="372" t="s">
        <v>353</v>
      </c>
      <c r="F397" s="373"/>
      <c r="G397" s="197">
        <v>4310</v>
      </c>
      <c r="H397" s="197">
        <v>0</v>
      </c>
      <c r="I397" s="197">
        <v>0</v>
      </c>
    </row>
    <row r="398" spans="1:9" ht="31.5">
      <c r="A398" s="372" t="s">
        <v>529</v>
      </c>
      <c r="B398" s="372" t="s">
        <v>30</v>
      </c>
      <c r="C398" s="372" t="s">
        <v>4</v>
      </c>
      <c r="D398" s="372" t="s">
        <v>198</v>
      </c>
      <c r="E398" s="372" t="s">
        <v>454</v>
      </c>
      <c r="F398" s="373"/>
      <c r="G398" s="197">
        <v>4310</v>
      </c>
      <c r="H398" s="197">
        <v>0</v>
      </c>
      <c r="I398" s="197">
        <v>0</v>
      </c>
    </row>
    <row r="399" spans="1:9" ht="47.25">
      <c r="A399" s="372" t="s">
        <v>1133</v>
      </c>
      <c r="B399" s="372" t="s">
        <v>30</v>
      </c>
      <c r="C399" s="372" t="s">
        <v>4</v>
      </c>
      <c r="D399" s="372" t="s">
        <v>198</v>
      </c>
      <c r="E399" s="372" t="s">
        <v>455</v>
      </c>
      <c r="F399" s="373"/>
      <c r="G399" s="197">
        <v>4310</v>
      </c>
      <c r="H399" s="197">
        <v>0</v>
      </c>
      <c r="I399" s="197">
        <v>0</v>
      </c>
    </row>
    <row r="400" spans="1:9" ht="47.25">
      <c r="A400" s="372" t="s">
        <v>1187</v>
      </c>
      <c r="B400" s="372" t="s">
        <v>30</v>
      </c>
      <c r="C400" s="372" t="s">
        <v>4</v>
      </c>
      <c r="D400" s="372" t="s">
        <v>198</v>
      </c>
      <c r="E400" s="372" t="s">
        <v>1168</v>
      </c>
      <c r="F400" s="373"/>
      <c r="G400" s="197">
        <v>4310</v>
      </c>
      <c r="H400" s="197">
        <v>0</v>
      </c>
      <c r="I400" s="197">
        <v>0</v>
      </c>
    </row>
    <row r="401" spans="1:9" ht="63">
      <c r="A401" s="372" t="s">
        <v>758</v>
      </c>
      <c r="B401" s="372" t="s">
        <v>30</v>
      </c>
      <c r="C401" s="372" t="s">
        <v>4</v>
      </c>
      <c r="D401" s="372" t="s">
        <v>198</v>
      </c>
      <c r="E401" s="372" t="s">
        <v>1168</v>
      </c>
      <c r="F401" s="372" t="s">
        <v>266</v>
      </c>
      <c r="G401" s="197">
        <v>200</v>
      </c>
      <c r="H401" s="197">
        <v>0</v>
      </c>
      <c r="I401" s="197">
        <v>0</v>
      </c>
    </row>
    <row r="402" spans="1:9" ht="47.25">
      <c r="A402" s="372" t="s">
        <v>810</v>
      </c>
      <c r="B402" s="372" t="s">
        <v>30</v>
      </c>
      <c r="C402" s="372" t="s">
        <v>4</v>
      </c>
      <c r="D402" s="372" t="s">
        <v>198</v>
      </c>
      <c r="E402" s="372" t="s">
        <v>1168</v>
      </c>
      <c r="F402" s="372" t="s">
        <v>270</v>
      </c>
      <c r="G402" s="197">
        <v>4110</v>
      </c>
      <c r="H402" s="197">
        <v>0</v>
      </c>
      <c r="I402" s="197">
        <v>0</v>
      </c>
    </row>
    <row r="403" spans="1:9" ht="63">
      <c r="A403" s="372" t="s">
        <v>503</v>
      </c>
      <c r="B403" s="372" t="s">
        <v>30</v>
      </c>
      <c r="C403" s="372" t="s">
        <v>4</v>
      </c>
      <c r="D403" s="372" t="s">
        <v>198</v>
      </c>
      <c r="E403" s="372" t="s">
        <v>386</v>
      </c>
      <c r="F403" s="373"/>
      <c r="G403" s="197">
        <v>4988.8999999999996</v>
      </c>
      <c r="H403" s="197">
        <v>0</v>
      </c>
      <c r="I403" s="197">
        <v>0</v>
      </c>
    </row>
    <row r="404" spans="1:9" ht="47.25">
      <c r="A404" s="372" t="s">
        <v>504</v>
      </c>
      <c r="B404" s="372" t="s">
        <v>30</v>
      </c>
      <c r="C404" s="372" t="s">
        <v>4</v>
      </c>
      <c r="D404" s="372" t="s">
        <v>198</v>
      </c>
      <c r="E404" s="372" t="s">
        <v>387</v>
      </c>
      <c r="F404" s="373"/>
      <c r="G404" s="197">
        <v>4988.8999999999996</v>
      </c>
      <c r="H404" s="197">
        <v>0</v>
      </c>
      <c r="I404" s="197">
        <v>0</v>
      </c>
    </row>
    <row r="405" spans="1:9" ht="110.25">
      <c r="A405" s="372" t="s">
        <v>1467</v>
      </c>
      <c r="B405" s="372" t="s">
        <v>30</v>
      </c>
      <c r="C405" s="372" t="s">
        <v>4</v>
      </c>
      <c r="D405" s="372" t="s">
        <v>198</v>
      </c>
      <c r="E405" s="372" t="s">
        <v>1056</v>
      </c>
      <c r="F405" s="373"/>
      <c r="G405" s="197">
        <v>4988.8999999999996</v>
      </c>
      <c r="H405" s="197">
        <v>0</v>
      </c>
      <c r="I405" s="197">
        <v>0</v>
      </c>
    </row>
    <row r="406" spans="1:9" ht="47.25">
      <c r="A406" s="372" t="s">
        <v>808</v>
      </c>
      <c r="B406" s="372" t="s">
        <v>30</v>
      </c>
      <c r="C406" s="372" t="s">
        <v>4</v>
      </c>
      <c r="D406" s="372" t="s">
        <v>198</v>
      </c>
      <c r="E406" s="372" t="s">
        <v>1057</v>
      </c>
      <c r="F406" s="373"/>
      <c r="G406" s="197">
        <v>4988.8999999999996</v>
      </c>
      <c r="H406" s="197">
        <v>0</v>
      </c>
      <c r="I406" s="197">
        <v>0</v>
      </c>
    </row>
    <row r="407" spans="1:9" ht="63">
      <c r="A407" s="372" t="s">
        <v>755</v>
      </c>
      <c r="B407" s="372" t="s">
        <v>30</v>
      </c>
      <c r="C407" s="372" t="s">
        <v>4</v>
      </c>
      <c r="D407" s="372" t="s">
        <v>198</v>
      </c>
      <c r="E407" s="372" t="s">
        <v>1057</v>
      </c>
      <c r="F407" s="372" t="s">
        <v>268</v>
      </c>
      <c r="G407" s="197">
        <v>4988.8999999999996</v>
      </c>
      <c r="H407" s="197">
        <v>0</v>
      </c>
      <c r="I407" s="197">
        <v>0</v>
      </c>
    </row>
    <row r="408" spans="1:9" ht="47.25">
      <c r="A408" s="372" t="s">
        <v>1273</v>
      </c>
      <c r="B408" s="372" t="s">
        <v>30</v>
      </c>
      <c r="C408" s="372" t="s">
        <v>4</v>
      </c>
      <c r="D408" s="372" t="s">
        <v>198</v>
      </c>
      <c r="E408" s="372" t="s">
        <v>1266</v>
      </c>
      <c r="F408" s="373"/>
      <c r="G408" s="197">
        <v>1052.6400000000001</v>
      </c>
      <c r="H408" s="197">
        <v>0</v>
      </c>
      <c r="I408" s="197">
        <v>0</v>
      </c>
    </row>
    <row r="409" spans="1:9" ht="31.5">
      <c r="A409" s="372" t="s">
        <v>509</v>
      </c>
      <c r="B409" s="372" t="s">
        <v>30</v>
      </c>
      <c r="C409" s="372" t="s">
        <v>4</v>
      </c>
      <c r="D409" s="372" t="s">
        <v>198</v>
      </c>
      <c r="E409" s="372" t="s">
        <v>1267</v>
      </c>
      <c r="F409" s="373"/>
      <c r="G409" s="197">
        <v>1052.6400000000001</v>
      </c>
      <c r="H409" s="197">
        <v>0</v>
      </c>
      <c r="I409" s="197">
        <v>0</v>
      </c>
    </row>
    <row r="410" spans="1:9" ht="31.5">
      <c r="A410" s="372" t="s">
        <v>1441</v>
      </c>
      <c r="B410" s="372" t="s">
        <v>30</v>
      </c>
      <c r="C410" s="372" t="s">
        <v>4</v>
      </c>
      <c r="D410" s="372" t="s">
        <v>198</v>
      </c>
      <c r="E410" s="372" t="s">
        <v>1267</v>
      </c>
      <c r="F410" s="373"/>
      <c r="G410" s="197">
        <v>1052.6400000000001</v>
      </c>
      <c r="H410" s="197">
        <v>0</v>
      </c>
      <c r="I410" s="197">
        <v>0</v>
      </c>
    </row>
    <row r="411" spans="1:9" ht="47.25">
      <c r="A411" s="372" t="s">
        <v>1372</v>
      </c>
      <c r="B411" s="372" t="s">
        <v>30</v>
      </c>
      <c r="C411" s="372" t="s">
        <v>4</v>
      </c>
      <c r="D411" s="372" t="s">
        <v>198</v>
      </c>
      <c r="E411" s="372" t="s">
        <v>1369</v>
      </c>
      <c r="F411" s="373"/>
      <c r="G411" s="197">
        <v>1052.6400000000001</v>
      </c>
      <c r="H411" s="197">
        <v>0</v>
      </c>
      <c r="I411" s="197">
        <v>0</v>
      </c>
    </row>
    <row r="412" spans="1:9" ht="63">
      <c r="A412" s="372" t="s">
        <v>755</v>
      </c>
      <c r="B412" s="372" t="s">
        <v>30</v>
      </c>
      <c r="C412" s="372" t="s">
        <v>4</v>
      </c>
      <c r="D412" s="372" t="s">
        <v>198</v>
      </c>
      <c r="E412" s="372" t="s">
        <v>1369</v>
      </c>
      <c r="F412" s="372" t="s">
        <v>268</v>
      </c>
      <c r="G412" s="197">
        <v>1052.6400000000001</v>
      </c>
      <c r="H412" s="197">
        <v>0</v>
      </c>
      <c r="I412" s="197">
        <v>0</v>
      </c>
    </row>
    <row r="413" spans="1:9" ht="15.75">
      <c r="A413" s="372" t="s">
        <v>512</v>
      </c>
      <c r="B413" s="372" t="s">
        <v>30</v>
      </c>
      <c r="C413" s="372" t="s">
        <v>4</v>
      </c>
      <c r="D413" s="372" t="s">
        <v>202</v>
      </c>
      <c r="E413" s="373"/>
      <c r="F413" s="373"/>
      <c r="G413" s="197">
        <v>169073.34051000001</v>
      </c>
      <c r="H413" s="197">
        <v>46079.405939999997</v>
      </c>
      <c r="I413" s="197">
        <v>46079.405939999997</v>
      </c>
    </row>
    <row r="414" spans="1:9" ht="110.25">
      <c r="A414" s="372" t="s">
        <v>500</v>
      </c>
      <c r="B414" s="372" t="s">
        <v>30</v>
      </c>
      <c r="C414" s="372" t="s">
        <v>4</v>
      </c>
      <c r="D414" s="372" t="s">
        <v>202</v>
      </c>
      <c r="E414" s="372" t="s">
        <v>353</v>
      </c>
      <c r="F414" s="373"/>
      <c r="G414" s="197">
        <v>37015.695</v>
      </c>
      <c r="H414" s="197">
        <v>27718.695</v>
      </c>
      <c r="I414" s="197">
        <v>27718.695</v>
      </c>
    </row>
    <row r="415" spans="1:9" ht="31.5">
      <c r="A415" s="372" t="s">
        <v>529</v>
      </c>
      <c r="B415" s="372" t="s">
        <v>30</v>
      </c>
      <c r="C415" s="372" t="s">
        <v>4</v>
      </c>
      <c r="D415" s="372" t="s">
        <v>202</v>
      </c>
      <c r="E415" s="372" t="s">
        <v>454</v>
      </c>
      <c r="F415" s="373"/>
      <c r="G415" s="197">
        <v>37015.695</v>
      </c>
      <c r="H415" s="197">
        <v>27718.695</v>
      </c>
      <c r="I415" s="197">
        <v>27718.695</v>
      </c>
    </row>
    <row r="416" spans="1:9" ht="47.25">
      <c r="A416" s="372" t="s">
        <v>1133</v>
      </c>
      <c r="B416" s="372" t="s">
        <v>30</v>
      </c>
      <c r="C416" s="372" t="s">
        <v>4</v>
      </c>
      <c r="D416" s="372" t="s">
        <v>202</v>
      </c>
      <c r="E416" s="372" t="s">
        <v>455</v>
      </c>
      <c r="F416" s="373"/>
      <c r="G416" s="197">
        <v>37015.695</v>
      </c>
      <c r="H416" s="197">
        <v>27718.695</v>
      </c>
      <c r="I416" s="197">
        <v>27718.695</v>
      </c>
    </row>
    <row r="417" spans="1:9" ht="47.25">
      <c r="A417" s="372" t="s">
        <v>880</v>
      </c>
      <c r="B417" s="372" t="s">
        <v>30</v>
      </c>
      <c r="C417" s="372" t="s">
        <v>4</v>
      </c>
      <c r="D417" s="372" t="s">
        <v>202</v>
      </c>
      <c r="E417" s="372" t="s">
        <v>1019</v>
      </c>
      <c r="F417" s="373"/>
      <c r="G417" s="197">
        <v>22461.895</v>
      </c>
      <c r="H417" s="197">
        <v>22461.895</v>
      </c>
      <c r="I417" s="197">
        <v>22461.895</v>
      </c>
    </row>
    <row r="418" spans="1:9" ht="63">
      <c r="A418" s="372" t="s">
        <v>755</v>
      </c>
      <c r="B418" s="372" t="s">
        <v>30</v>
      </c>
      <c r="C418" s="372" t="s">
        <v>4</v>
      </c>
      <c r="D418" s="372" t="s">
        <v>202</v>
      </c>
      <c r="E418" s="372" t="s">
        <v>1019</v>
      </c>
      <c r="F418" s="372" t="s">
        <v>268</v>
      </c>
      <c r="G418" s="197">
        <v>22461.895</v>
      </c>
      <c r="H418" s="197">
        <v>22461.895</v>
      </c>
      <c r="I418" s="197">
        <v>22461.895</v>
      </c>
    </row>
    <row r="419" spans="1:9" ht="47.25">
      <c r="A419" s="372" t="s">
        <v>802</v>
      </c>
      <c r="B419" s="372" t="s">
        <v>30</v>
      </c>
      <c r="C419" s="372" t="s">
        <v>4</v>
      </c>
      <c r="D419" s="372" t="s">
        <v>202</v>
      </c>
      <c r="E419" s="372" t="s">
        <v>1020</v>
      </c>
      <c r="F419" s="373"/>
      <c r="G419" s="197">
        <v>5256.8</v>
      </c>
      <c r="H419" s="197">
        <v>5256.8</v>
      </c>
      <c r="I419" s="197">
        <v>5256.8</v>
      </c>
    </row>
    <row r="420" spans="1:9" ht="63">
      <c r="A420" s="372" t="s">
        <v>755</v>
      </c>
      <c r="B420" s="372" t="s">
        <v>30</v>
      </c>
      <c r="C420" s="372" t="s">
        <v>4</v>
      </c>
      <c r="D420" s="372" t="s">
        <v>202</v>
      </c>
      <c r="E420" s="372" t="s">
        <v>1020</v>
      </c>
      <c r="F420" s="372" t="s">
        <v>268</v>
      </c>
      <c r="G420" s="197">
        <v>5256.8</v>
      </c>
      <c r="H420" s="197">
        <v>5256.8</v>
      </c>
      <c r="I420" s="197">
        <v>5256.8</v>
      </c>
    </row>
    <row r="421" spans="1:9" ht="47.25">
      <c r="A421" s="372" t="s">
        <v>1187</v>
      </c>
      <c r="B421" s="372" t="s">
        <v>30</v>
      </c>
      <c r="C421" s="372" t="s">
        <v>4</v>
      </c>
      <c r="D421" s="372" t="s">
        <v>202</v>
      </c>
      <c r="E421" s="372" t="s">
        <v>1168</v>
      </c>
      <c r="F421" s="373"/>
      <c r="G421" s="197">
        <v>8780</v>
      </c>
      <c r="H421" s="197">
        <v>0</v>
      </c>
      <c r="I421" s="197">
        <v>0</v>
      </c>
    </row>
    <row r="422" spans="1:9" ht="63">
      <c r="A422" s="372" t="s">
        <v>758</v>
      </c>
      <c r="B422" s="372" t="s">
        <v>30</v>
      </c>
      <c r="C422" s="372" t="s">
        <v>4</v>
      </c>
      <c r="D422" s="372" t="s">
        <v>202</v>
      </c>
      <c r="E422" s="372" t="s">
        <v>1168</v>
      </c>
      <c r="F422" s="372" t="s">
        <v>266</v>
      </c>
      <c r="G422" s="197">
        <v>600</v>
      </c>
      <c r="H422" s="197">
        <v>0</v>
      </c>
      <c r="I422" s="197">
        <v>0</v>
      </c>
    </row>
    <row r="423" spans="1:9" ht="47.25">
      <c r="A423" s="372" t="s">
        <v>810</v>
      </c>
      <c r="B423" s="372" t="s">
        <v>30</v>
      </c>
      <c r="C423" s="372" t="s">
        <v>4</v>
      </c>
      <c r="D423" s="372" t="s">
        <v>202</v>
      </c>
      <c r="E423" s="372" t="s">
        <v>1168</v>
      </c>
      <c r="F423" s="372" t="s">
        <v>270</v>
      </c>
      <c r="G423" s="197">
        <v>8180</v>
      </c>
      <c r="H423" s="197">
        <v>0</v>
      </c>
      <c r="I423" s="197">
        <v>0</v>
      </c>
    </row>
    <row r="424" spans="1:9" ht="31.5">
      <c r="A424" s="372" t="s">
        <v>860</v>
      </c>
      <c r="B424" s="372" t="s">
        <v>30</v>
      </c>
      <c r="C424" s="372" t="s">
        <v>4</v>
      </c>
      <c r="D424" s="372" t="s">
        <v>202</v>
      </c>
      <c r="E424" s="372" t="s">
        <v>1021</v>
      </c>
      <c r="F424" s="373"/>
      <c r="G424" s="197">
        <v>517</v>
      </c>
      <c r="H424" s="197">
        <v>0</v>
      </c>
      <c r="I424" s="197">
        <v>0</v>
      </c>
    </row>
    <row r="425" spans="1:9" ht="63">
      <c r="A425" s="372" t="s">
        <v>755</v>
      </c>
      <c r="B425" s="372" t="s">
        <v>30</v>
      </c>
      <c r="C425" s="372" t="s">
        <v>4</v>
      </c>
      <c r="D425" s="372" t="s">
        <v>202</v>
      </c>
      <c r="E425" s="372" t="s">
        <v>1021</v>
      </c>
      <c r="F425" s="372" t="s">
        <v>268</v>
      </c>
      <c r="G425" s="197">
        <v>517</v>
      </c>
      <c r="H425" s="197">
        <v>0</v>
      </c>
      <c r="I425" s="197">
        <v>0</v>
      </c>
    </row>
    <row r="426" spans="1:9" ht="63">
      <c r="A426" s="372" t="s">
        <v>503</v>
      </c>
      <c r="B426" s="372" t="s">
        <v>30</v>
      </c>
      <c r="C426" s="372" t="s">
        <v>4</v>
      </c>
      <c r="D426" s="372" t="s">
        <v>202</v>
      </c>
      <c r="E426" s="372" t="s">
        <v>386</v>
      </c>
      <c r="F426" s="373"/>
      <c r="G426" s="197">
        <v>23980.576700000001</v>
      </c>
      <c r="H426" s="197">
        <v>18360.710940000001</v>
      </c>
      <c r="I426" s="197">
        <v>18360.710940000001</v>
      </c>
    </row>
    <row r="427" spans="1:9" ht="47.25">
      <c r="A427" s="372" t="s">
        <v>504</v>
      </c>
      <c r="B427" s="372" t="s">
        <v>30</v>
      </c>
      <c r="C427" s="372" t="s">
        <v>4</v>
      </c>
      <c r="D427" s="372" t="s">
        <v>202</v>
      </c>
      <c r="E427" s="372" t="s">
        <v>387</v>
      </c>
      <c r="F427" s="373"/>
      <c r="G427" s="197">
        <v>23980.576700000001</v>
      </c>
      <c r="H427" s="197">
        <v>18360.710940000001</v>
      </c>
      <c r="I427" s="197">
        <v>18360.710940000001</v>
      </c>
    </row>
    <row r="428" spans="1:9" ht="47.25">
      <c r="A428" s="372" t="s">
        <v>804</v>
      </c>
      <c r="B428" s="372" t="s">
        <v>30</v>
      </c>
      <c r="C428" s="372" t="s">
        <v>4</v>
      </c>
      <c r="D428" s="372" t="s">
        <v>202</v>
      </c>
      <c r="E428" s="372" t="s">
        <v>388</v>
      </c>
      <c r="F428" s="373"/>
      <c r="G428" s="197">
        <v>16370.0867</v>
      </c>
      <c r="H428" s="197">
        <v>10041.16287</v>
      </c>
      <c r="I428" s="197">
        <v>10041.16287</v>
      </c>
    </row>
    <row r="429" spans="1:9" ht="47.25">
      <c r="A429" s="372" t="s">
        <v>880</v>
      </c>
      <c r="B429" s="372" t="s">
        <v>30</v>
      </c>
      <c r="C429" s="372" t="s">
        <v>4</v>
      </c>
      <c r="D429" s="372" t="s">
        <v>202</v>
      </c>
      <c r="E429" s="372" t="s">
        <v>879</v>
      </c>
      <c r="F429" s="373"/>
      <c r="G429" s="197">
        <v>532.96</v>
      </c>
      <c r="H429" s="197">
        <v>463.87979999999999</v>
      </c>
      <c r="I429" s="197">
        <v>463.87979999999999</v>
      </c>
    </row>
    <row r="430" spans="1:9" ht="63">
      <c r="A430" s="372" t="s">
        <v>755</v>
      </c>
      <c r="B430" s="372" t="s">
        <v>30</v>
      </c>
      <c r="C430" s="372" t="s">
        <v>4</v>
      </c>
      <c r="D430" s="372" t="s">
        <v>202</v>
      </c>
      <c r="E430" s="372" t="s">
        <v>879</v>
      </c>
      <c r="F430" s="372" t="s">
        <v>268</v>
      </c>
      <c r="G430" s="197">
        <v>532.96</v>
      </c>
      <c r="H430" s="197">
        <v>463.87979999999999</v>
      </c>
      <c r="I430" s="197">
        <v>463.87979999999999</v>
      </c>
    </row>
    <row r="431" spans="1:9" ht="47.25">
      <c r="A431" s="372" t="s">
        <v>861</v>
      </c>
      <c r="B431" s="372" t="s">
        <v>30</v>
      </c>
      <c r="C431" s="372" t="s">
        <v>4</v>
      </c>
      <c r="D431" s="372" t="s">
        <v>202</v>
      </c>
      <c r="E431" s="372" t="s">
        <v>1043</v>
      </c>
      <c r="F431" s="373"/>
      <c r="G431" s="197">
        <v>128.87</v>
      </c>
      <c r="H431" s="197">
        <v>128.87</v>
      </c>
      <c r="I431" s="197">
        <v>128.87</v>
      </c>
    </row>
    <row r="432" spans="1:9" ht="63">
      <c r="A432" s="372" t="s">
        <v>755</v>
      </c>
      <c r="B432" s="372" t="s">
        <v>30</v>
      </c>
      <c r="C432" s="372" t="s">
        <v>4</v>
      </c>
      <c r="D432" s="372" t="s">
        <v>202</v>
      </c>
      <c r="E432" s="372" t="s">
        <v>1043</v>
      </c>
      <c r="F432" s="372" t="s">
        <v>268</v>
      </c>
      <c r="G432" s="197">
        <v>128.87</v>
      </c>
      <c r="H432" s="197">
        <v>128.87</v>
      </c>
      <c r="I432" s="197">
        <v>128.87</v>
      </c>
    </row>
    <row r="433" spans="1:9" ht="78.75">
      <c r="A433" s="372" t="s">
        <v>805</v>
      </c>
      <c r="B433" s="372" t="s">
        <v>30</v>
      </c>
      <c r="C433" s="372" t="s">
        <v>4</v>
      </c>
      <c r="D433" s="372" t="s">
        <v>202</v>
      </c>
      <c r="E433" s="372" t="s">
        <v>1044</v>
      </c>
      <c r="F433" s="373"/>
      <c r="G433" s="197">
        <v>12554.6587</v>
      </c>
      <c r="H433" s="197">
        <v>7548.4130699999996</v>
      </c>
      <c r="I433" s="197">
        <v>7548.4130699999996</v>
      </c>
    </row>
    <row r="434" spans="1:9" ht="63">
      <c r="A434" s="372" t="s">
        <v>755</v>
      </c>
      <c r="B434" s="372" t="s">
        <v>30</v>
      </c>
      <c r="C434" s="372" t="s">
        <v>4</v>
      </c>
      <c r="D434" s="372" t="s">
        <v>202</v>
      </c>
      <c r="E434" s="372" t="s">
        <v>1044</v>
      </c>
      <c r="F434" s="372" t="s">
        <v>268</v>
      </c>
      <c r="G434" s="197">
        <v>12554.6587</v>
      </c>
      <c r="H434" s="197">
        <v>7548.4130699999996</v>
      </c>
      <c r="I434" s="197">
        <v>7548.4130699999996</v>
      </c>
    </row>
    <row r="435" spans="1:9" ht="31.5">
      <c r="A435" s="372" t="s">
        <v>806</v>
      </c>
      <c r="B435" s="372" t="s">
        <v>30</v>
      </c>
      <c r="C435" s="372" t="s">
        <v>4</v>
      </c>
      <c r="D435" s="372" t="s">
        <v>202</v>
      </c>
      <c r="E435" s="372" t="s">
        <v>1045</v>
      </c>
      <c r="F435" s="373"/>
      <c r="G435" s="197">
        <v>150</v>
      </c>
      <c r="H435" s="197">
        <v>150</v>
      </c>
      <c r="I435" s="197">
        <v>150</v>
      </c>
    </row>
    <row r="436" spans="1:9" ht="63">
      <c r="A436" s="372" t="s">
        <v>755</v>
      </c>
      <c r="B436" s="372" t="s">
        <v>30</v>
      </c>
      <c r="C436" s="372" t="s">
        <v>4</v>
      </c>
      <c r="D436" s="372" t="s">
        <v>202</v>
      </c>
      <c r="E436" s="372" t="s">
        <v>1045</v>
      </c>
      <c r="F436" s="372" t="s">
        <v>268</v>
      </c>
      <c r="G436" s="197">
        <v>150</v>
      </c>
      <c r="H436" s="197">
        <v>150</v>
      </c>
      <c r="I436" s="197">
        <v>150</v>
      </c>
    </row>
    <row r="437" spans="1:9" ht="47.25">
      <c r="A437" s="372" t="s">
        <v>1189</v>
      </c>
      <c r="B437" s="372" t="s">
        <v>30</v>
      </c>
      <c r="C437" s="372" t="s">
        <v>4</v>
      </c>
      <c r="D437" s="372" t="s">
        <v>202</v>
      </c>
      <c r="E437" s="372" t="s">
        <v>1172</v>
      </c>
      <c r="F437" s="373"/>
      <c r="G437" s="197">
        <v>800</v>
      </c>
      <c r="H437" s="197">
        <v>0</v>
      </c>
      <c r="I437" s="197">
        <v>0</v>
      </c>
    </row>
    <row r="438" spans="1:9" ht="47.25">
      <c r="A438" s="372" t="s">
        <v>810</v>
      </c>
      <c r="B438" s="372" t="s">
        <v>30</v>
      </c>
      <c r="C438" s="372" t="s">
        <v>4</v>
      </c>
      <c r="D438" s="372" t="s">
        <v>202</v>
      </c>
      <c r="E438" s="372" t="s">
        <v>1172</v>
      </c>
      <c r="F438" s="372" t="s">
        <v>270</v>
      </c>
      <c r="G438" s="197">
        <v>800</v>
      </c>
      <c r="H438" s="197">
        <v>0</v>
      </c>
      <c r="I438" s="197">
        <v>0</v>
      </c>
    </row>
    <row r="439" spans="1:9" ht="94.5">
      <c r="A439" s="372" t="s">
        <v>1134</v>
      </c>
      <c r="B439" s="372" t="s">
        <v>30</v>
      </c>
      <c r="C439" s="372" t="s">
        <v>4</v>
      </c>
      <c r="D439" s="372" t="s">
        <v>202</v>
      </c>
      <c r="E439" s="372" t="s">
        <v>1047</v>
      </c>
      <c r="F439" s="373"/>
      <c r="G439" s="197">
        <v>458.46</v>
      </c>
      <c r="H439" s="197">
        <v>500</v>
      </c>
      <c r="I439" s="197">
        <v>500</v>
      </c>
    </row>
    <row r="440" spans="1:9" ht="63">
      <c r="A440" s="372" t="s">
        <v>755</v>
      </c>
      <c r="B440" s="372" t="s">
        <v>30</v>
      </c>
      <c r="C440" s="372" t="s">
        <v>4</v>
      </c>
      <c r="D440" s="372" t="s">
        <v>202</v>
      </c>
      <c r="E440" s="372" t="s">
        <v>1047</v>
      </c>
      <c r="F440" s="372" t="s">
        <v>268</v>
      </c>
      <c r="G440" s="197">
        <v>458.46</v>
      </c>
      <c r="H440" s="197">
        <v>500</v>
      </c>
      <c r="I440" s="197">
        <v>500</v>
      </c>
    </row>
    <row r="441" spans="1:9" ht="31.5">
      <c r="A441" s="372" t="s">
        <v>1135</v>
      </c>
      <c r="B441" s="372" t="s">
        <v>30</v>
      </c>
      <c r="C441" s="372" t="s">
        <v>4</v>
      </c>
      <c r="D441" s="372" t="s">
        <v>202</v>
      </c>
      <c r="E441" s="372" t="s">
        <v>1049</v>
      </c>
      <c r="F441" s="373"/>
      <c r="G441" s="197">
        <v>1745.1379999999999</v>
      </c>
      <c r="H441" s="197">
        <v>1250</v>
      </c>
      <c r="I441" s="197">
        <v>1250</v>
      </c>
    </row>
    <row r="442" spans="1:9" ht="63">
      <c r="A442" s="372" t="s">
        <v>758</v>
      </c>
      <c r="B442" s="372" t="s">
        <v>30</v>
      </c>
      <c r="C442" s="372" t="s">
        <v>4</v>
      </c>
      <c r="D442" s="372" t="s">
        <v>202</v>
      </c>
      <c r="E442" s="372" t="s">
        <v>1049</v>
      </c>
      <c r="F442" s="372" t="s">
        <v>266</v>
      </c>
      <c r="G442" s="197">
        <v>495.13799999999998</v>
      </c>
      <c r="H442" s="197">
        <v>0</v>
      </c>
      <c r="I442" s="197">
        <v>0</v>
      </c>
    </row>
    <row r="443" spans="1:9" ht="63">
      <c r="A443" s="372" t="s">
        <v>755</v>
      </c>
      <c r="B443" s="372" t="s">
        <v>30</v>
      </c>
      <c r="C443" s="372" t="s">
        <v>4</v>
      </c>
      <c r="D443" s="372" t="s">
        <v>202</v>
      </c>
      <c r="E443" s="372" t="s">
        <v>1049</v>
      </c>
      <c r="F443" s="372" t="s">
        <v>268</v>
      </c>
      <c r="G443" s="197">
        <v>1250</v>
      </c>
      <c r="H443" s="197">
        <v>1250</v>
      </c>
      <c r="I443" s="197">
        <v>1250</v>
      </c>
    </row>
    <row r="444" spans="1:9" ht="94.5">
      <c r="A444" s="372" t="s">
        <v>1136</v>
      </c>
      <c r="B444" s="372" t="s">
        <v>30</v>
      </c>
      <c r="C444" s="372" t="s">
        <v>4</v>
      </c>
      <c r="D444" s="372" t="s">
        <v>202</v>
      </c>
      <c r="E444" s="372" t="s">
        <v>1051</v>
      </c>
      <c r="F444" s="373"/>
      <c r="G444" s="197">
        <v>7610.49</v>
      </c>
      <c r="H444" s="197">
        <v>8319.5480700000007</v>
      </c>
      <c r="I444" s="197">
        <v>8319.5480700000007</v>
      </c>
    </row>
    <row r="445" spans="1:9" ht="47.25">
      <c r="A445" s="372" t="s">
        <v>880</v>
      </c>
      <c r="B445" s="372" t="s">
        <v>30</v>
      </c>
      <c r="C445" s="372" t="s">
        <v>4</v>
      </c>
      <c r="D445" s="372" t="s">
        <v>202</v>
      </c>
      <c r="E445" s="372" t="s">
        <v>1052</v>
      </c>
      <c r="F445" s="373"/>
      <c r="G445" s="197">
        <v>5329.87</v>
      </c>
      <c r="H445" s="197">
        <v>5842.3543200000004</v>
      </c>
      <c r="I445" s="197">
        <v>5842.3543200000004</v>
      </c>
    </row>
    <row r="446" spans="1:9" ht="63">
      <c r="A446" s="372" t="s">
        <v>755</v>
      </c>
      <c r="B446" s="372" t="s">
        <v>30</v>
      </c>
      <c r="C446" s="372" t="s">
        <v>4</v>
      </c>
      <c r="D446" s="372" t="s">
        <v>202</v>
      </c>
      <c r="E446" s="372" t="s">
        <v>1052</v>
      </c>
      <c r="F446" s="372" t="s">
        <v>268</v>
      </c>
      <c r="G446" s="197">
        <v>5329.87</v>
      </c>
      <c r="H446" s="197">
        <v>5842.3543200000004</v>
      </c>
      <c r="I446" s="197">
        <v>5842.3543200000004</v>
      </c>
    </row>
    <row r="447" spans="1:9" ht="31.5">
      <c r="A447" s="372" t="s">
        <v>803</v>
      </c>
      <c r="B447" s="372" t="s">
        <v>30</v>
      </c>
      <c r="C447" s="372" t="s">
        <v>4</v>
      </c>
      <c r="D447" s="372" t="s">
        <v>202</v>
      </c>
      <c r="E447" s="372" t="s">
        <v>1053</v>
      </c>
      <c r="F447" s="373"/>
      <c r="G447" s="197">
        <v>2280.62</v>
      </c>
      <c r="H447" s="197">
        <v>2477.1937499999999</v>
      </c>
      <c r="I447" s="197">
        <v>2477.1937499999999</v>
      </c>
    </row>
    <row r="448" spans="1:9" ht="63">
      <c r="A448" s="372" t="s">
        <v>755</v>
      </c>
      <c r="B448" s="372" t="s">
        <v>30</v>
      </c>
      <c r="C448" s="372" t="s">
        <v>4</v>
      </c>
      <c r="D448" s="372" t="s">
        <v>202</v>
      </c>
      <c r="E448" s="372" t="s">
        <v>1053</v>
      </c>
      <c r="F448" s="372" t="s">
        <v>268</v>
      </c>
      <c r="G448" s="197">
        <v>2280.62</v>
      </c>
      <c r="H448" s="197">
        <v>2477.1937499999999</v>
      </c>
      <c r="I448" s="197">
        <v>2477.1937499999999</v>
      </c>
    </row>
    <row r="449" spans="1:9" ht="94.5">
      <c r="A449" s="372" t="s">
        <v>1190</v>
      </c>
      <c r="B449" s="372" t="s">
        <v>30</v>
      </c>
      <c r="C449" s="372" t="s">
        <v>4</v>
      </c>
      <c r="D449" s="372" t="s">
        <v>202</v>
      </c>
      <c r="E449" s="372" t="s">
        <v>1176</v>
      </c>
      <c r="F449" s="373"/>
      <c r="G449" s="197">
        <v>108077.06881</v>
      </c>
      <c r="H449" s="197">
        <v>0</v>
      </c>
      <c r="I449" s="197">
        <v>0</v>
      </c>
    </row>
    <row r="450" spans="1:9" ht="47.25">
      <c r="A450" s="372" t="s">
        <v>1424</v>
      </c>
      <c r="B450" s="372" t="s">
        <v>30</v>
      </c>
      <c r="C450" s="372" t="s">
        <v>4</v>
      </c>
      <c r="D450" s="372" t="s">
        <v>202</v>
      </c>
      <c r="E450" s="372" t="s">
        <v>1417</v>
      </c>
      <c r="F450" s="373"/>
      <c r="G450" s="197">
        <v>23077.068810000001</v>
      </c>
      <c r="H450" s="197">
        <v>0</v>
      </c>
      <c r="I450" s="197">
        <v>0</v>
      </c>
    </row>
    <row r="451" spans="1:9" ht="47.25">
      <c r="A451" s="372" t="s">
        <v>1468</v>
      </c>
      <c r="B451" s="372" t="s">
        <v>30</v>
      </c>
      <c r="C451" s="372" t="s">
        <v>4</v>
      </c>
      <c r="D451" s="372" t="s">
        <v>202</v>
      </c>
      <c r="E451" s="372" t="s">
        <v>1418</v>
      </c>
      <c r="F451" s="373"/>
      <c r="G451" s="197">
        <v>23077.068810000001</v>
      </c>
      <c r="H451" s="197">
        <v>0</v>
      </c>
      <c r="I451" s="197">
        <v>0</v>
      </c>
    </row>
    <row r="452" spans="1:9" ht="47.25">
      <c r="A452" s="372" t="s">
        <v>1414</v>
      </c>
      <c r="B452" s="372" t="s">
        <v>30</v>
      </c>
      <c r="C452" s="372" t="s">
        <v>4</v>
      </c>
      <c r="D452" s="372" t="s">
        <v>202</v>
      </c>
      <c r="E452" s="372" t="s">
        <v>1419</v>
      </c>
      <c r="F452" s="373"/>
      <c r="G452" s="197">
        <v>22263.36881</v>
      </c>
      <c r="H452" s="197">
        <v>0</v>
      </c>
      <c r="I452" s="197">
        <v>0</v>
      </c>
    </row>
    <row r="453" spans="1:9" ht="63">
      <c r="A453" s="372" t="s">
        <v>758</v>
      </c>
      <c r="B453" s="372" t="s">
        <v>30</v>
      </c>
      <c r="C453" s="372" t="s">
        <v>4</v>
      </c>
      <c r="D453" s="372" t="s">
        <v>202</v>
      </c>
      <c r="E453" s="372" t="s">
        <v>1419</v>
      </c>
      <c r="F453" s="372" t="s">
        <v>266</v>
      </c>
      <c r="G453" s="197">
        <v>22263.36881</v>
      </c>
      <c r="H453" s="197">
        <v>0</v>
      </c>
      <c r="I453" s="197">
        <v>0</v>
      </c>
    </row>
    <row r="454" spans="1:9" ht="94.5">
      <c r="A454" s="372" t="s">
        <v>1521</v>
      </c>
      <c r="B454" s="372" t="s">
        <v>30</v>
      </c>
      <c r="C454" s="372" t="s">
        <v>4</v>
      </c>
      <c r="D454" s="372" t="s">
        <v>202</v>
      </c>
      <c r="E454" s="372" t="s">
        <v>1518</v>
      </c>
      <c r="F454" s="373"/>
      <c r="G454" s="197">
        <v>813.7</v>
      </c>
      <c r="H454" s="197">
        <v>0</v>
      </c>
      <c r="I454" s="197">
        <v>0</v>
      </c>
    </row>
    <row r="455" spans="1:9" ht="63">
      <c r="A455" s="372" t="s">
        <v>755</v>
      </c>
      <c r="B455" s="372" t="s">
        <v>30</v>
      </c>
      <c r="C455" s="372" t="s">
        <v>4</v>
      </c>
      <c r="D455" s="372" t="s">
        <v>202</v>
      </c>
      <c r="E455" s="372" t="s">
        <v>1518</v>
      </c>
      <c r="F455" s="372" t="s">
        <v>268</v>
      </c>
      <c r="G455" s="197">
        <v>813.7</v>
      </c>
      <c r="H455" s="197">
        <v>0</v>
      </c>
      <c r="I455" s="197">
        <v>0</v>
      </c>
    </row>
    <row r="456" spans="1:9" ht="63">
      <c r="A456" s="372" t="s">
        <v>1425</v>
      </c>
      <c r="B456" s="372" t="s">
        <v>30</v>
      </c>
      <c r="C456" s="372" t="s">
        <v>4</v>
      </c>
      <c r="D456" s="372" t="s">
        <v>202</v>
      </c>
      <c r="E456" s="372" t="s">
        <v>1421</v>
      </c>
      <c r="F456" s="373"/>
      <c r="G456" s="197">
        <v>85000</v>
      </c>
      <c r="H456" s="197">
        <v>0</v>
      </c>
      <c r="I456" s="197">
        <v>0</v>
      </c>
    </row>
    <row r="457" spans="1:9" ht="47.25">
      <c r="A457" s="372" t="s">
        <v>1469</v>
      </c>
      <c r="B457" s="372" t="s">
        <v>30</v>
      </c>
      <c r="C457" s="372" t="s">
        <v>4</v>
      </c>
      <c r="D457" s="372" t="s">
        <v>202</v>
      </c>
      <c r="E457" s="372" t="s">
        <v>1423</v>
      </c>
      <c r="F457" s="373"/>
      <c r="G457" s="197">
        <v>85000</v>
      </c>
      <c r="H457" s="197">
        <v>0</v>
      </c>
      <c r="I457" s="197">
        <v>0</v>
      </c>
    </row>
    <row r="458" spans="1:9" ht="110.25">
      <c r="A458" s="372" t="s">
        <v>1522</v>
      </c>
      <c r="B458" s="372" t="s">
        <v>30</v>
      </c>
      <c r="C458" s="372" t="s">
        <v>4</v>
      </c>
      <c r="D458" s="372" t="s">
        <v>202</v>
      </c>
      <c r="E458" s="372" t="s">
        <v>1520</v>
      </c>
      <c r="F458" s="373"/>
      <c r="G458" s="197">
        <v>85000</v>
      </c>
      <c r="H458" s="197">
        <v>0</v>
      </c>
      <c r="I458" s="197">
        <v>0</v>
      </c>
    </row>
    <row r="459" spans="1:9" ht="63">
      <c r="A459" s="372" t="s">
        <v>758</v>
      </c>
      <c r="B459" s="372" t="s">
        <v>30</v>
      </c>
      <c r="C459" s="372" t="s">
        <v>4</v>
      </c>
      <c r="D459" s="372" t="s">
        <v>202</v>
      </c>
      <c r="E459" s="372" t="s">
        <v>1520</v>
      </c>
      <c r="F459" s="372" t="s">
        <v>266</v>
      </c>
      <c r="G459" s="197">
        <v>85000</v>
      </c>
      <c r="H459" s="197">
        <v>0</v>
      </c>
      <c r="I459" s="197">
        <v>0</v>
      </c>
    </row>
    <row r="460" spans="1:9" ht="31.5">
      <c r="A460" s="372" t="s">
        <v>1236</v>
      </c>
      <c r="B460" s="372" t="s">
        <v>30</v>
      </c>
      <c r="C460" s="372" t="s">
        <v>204</v>
      </c>
      <c r="D460" s="373"/>
      <c r="E460" s="373"/>
      <c r="F460" s="373"/>
      <c r="G460" s="197">
        <v>23955.78989</v>
      </c>
      <c r="H460" s="197">
        <v>1723.4287400000001</v>
      </c>
      <c r="I460" s="197">
        <v>0</v>
      </c>
    </row>
    <row r="461" spans="1:9" ht="31.5">
      <c r="A461" s="372" t="s">
        <v>1237</v>
      </c>
      <c r="B461" s="372" t="s">
        <v>30</v>
      </c>
      <c r="C461" s="372" t="s">
        <v>204</v>
      </c>
      <c r="D461" s="372" t="s">
        <v>4</v>
      </c>
      <c r="E461" s="373"/>
      <c r="F461" s="373"/>
      <c r="G461" s="197">
        <v>23955.78989</v>
      </c>
      <c r="H461" s="197">
        <v>1723.4287400000001</v>
      </c>
      <c r="I461" s="197">
        <v>0</v>
      </c>
    </row>
    <row r="462" spans="1:9" ht="47.25">
      <c r="A462" s="372" t="s">
        <v>1238</v>
      </c>
      <c r="B462" s="372" t="s">
        <v>30</v>
      </c>
      <c r="C462" s="372" t="s">
        <v>204</v>
      </c>
      <c r="D462" s="372" t="s">
        <v>4</v>
      </c>
      <c r="E462" s="372" t="s">
        <v>1221</v>
      </c>
      <c r="F462" s="373"/>
      <c r="G462" s="197">
        <v>23955.78989</v>
      </c>
      <c r="H462" s="197">
        <v>1723.4287400000001</v>
      </c>
      <c r="I462" s="197">
        <v>0</v>
      </c>
    </row>
    <row r="463" spans="1:9" ht="63">
      <c r="A463" s="372" t="s">
        <v>1452</v>
      </c>
      <c r="B463" s="372" t="s">
        <v>30</v>
      </c>
      <c r="C463" s="372" t="s">
        <v>204</v>
      </c>
      <c r="D463" s="372" t="s">
        <v>4</v>
      </c>
      <c r="E463" s="372" t="s">
        <v>1433</v>
      </c>
      <c r="F463" s="373"/>
      <c r="G463" s="197">
        <v>23955.78989</v>
      </c>
      <c r="H463" s="197">
        <v>1723.4287400000001</v>
      </c>
      <c r="I463" s="197">
        <v>0</v>
      </c>
    </row>
    <row r="464" spans="1:9" ht="31.5">
      <c r="A464" s="372" t="s">
        <v>1470</v>
      </c>
      <c r="B464" s="372" t="s">
        <v>30</v>
      </c>
      <c r="C464" s="372" t="s">
        <v>204</v>
      </c>
      <c r="D464" s="372" t="s">
        <v>4</v>
      </c>
      <c r="E464" s="372" t="s">
        <v>1435</v>
      </c>
      <c r="F464" s="373"/>
      <c r="G464" s="197">
        <v>23955.78989</v>
      </c>
      <c r="H464" s="197">
        <v>1723.4287400000001</v>
      </c>
      <c r="I464" s="197">
        <v>0</v>
      </c>
    </row>
    <row r="465" spans="1:9" ht="126">
      <c r="A465" s="372" t="s">
        <v>1449</v>
      </c>
      <c r="B465" s="372" t="s">
        <v>30</v>
      </c>
      <c r="C465" s="372" t="s">
        <v>204</v>
      </c>
      <c r="D465" s="372" t="s">
        <v>4</v>
      </c>
      <c r="E465" s="372" t="s">
        <v>1436</v>
      </c>
      <c r="F465" s="373"/>
      <c r="G465" s="197">
        <v>23955.78989</v>
      </c>
      <c r="H465" s="197">
        <v>1723.4287400000001</v>
      </c>
      <c r="I465" s="197">
        <v>0</v>
      </c>
    </row>
    <row r="466" spans="1:9" ht="47.25">
      <c r="A466" s="372" t="s">
        <v>810</v>
      </c>
      <c r="B466" s="372" t="s">
        <v>30</v>
      </c>
      <c r="C466" s="372" t="s">
        <v>204</v>
      </c>
      <c r="D466" s="372" t="s">
        <v>4</v>
      </c>
      <c r="E466" s="372" t="s">
        <v>1436</v>
      </c>
      <c r="F466" s="372" t="s">
        <v>270</v>
      </c>
      <c r="G466" s="197">
        <v>23955.78989</v>
      </c>
      <c r="H466" s="197">
        <v>1723.4287400000001</v>
      </c>
      <c r="I466" s="197">
        <v>0</v>
      </c>
    </row>
    <row r="467" spans="1:9" ht="15.75">
      <c r="A467" s="372" t="s">
        <v>475</v>
      </c>
      <c r="B467" s="372" t="s">
        <v>30</v>
      </c>
      <c r="C467" s="372" t="s">
        <v>197</v>
      </c>
      <c r="D467" s="373"/>
      <c r="E467" s="373"/>
      <c r="F467" s="373"/>
      <c r="G467" s="197">
        <v>3374.4137700000001</v>
      </c>
      <c r="H467" s="197">
        <v>0</v>
      </c>
      <c r="I467" s="197">
        <v>0</v>
      </c>
    </row>
    <row r="468" spans="1:9" ht="15.75">
      <c r="A468" s="372" t="s">
        <v>485</v>
      </c>
      <c r="B468" s="372" t="s">
        <v>30</v>
      </c>
      <c r="C468" s="372" t="s">
        <v>197</v>
      </c>
      <c r="D468" s="372" t="s">
        <v>200</v>
      </c>
      <c r="E468" s="373"/>
      <c r="F468" s="373"/>
      <c r="G468" s="197">
        <v>3347.9396099999999</v>
      </c>
      <c r="H468" s="197">
        <v>0</v>
      </c>
      <c r="I468" s="197">
        <v>0</v>
      </c>
    </row>
    <row r="469" spans="1:9" ht="63">
      <c r="A469" s="372" t="s">
        <v>477</v>
      </c>
      <c r="B469" s="372" t="s">
        <v>30</v>
      </c>
      <c r="C469" s="372" t="s">
        <v>197</v>
      </c>
      <c r="D469" s="372" t="s">
        <v>200</v>
      </c>
      <c r="E469" s="372" t="s">
        <v>303</v>
      </c>
      <c r="F469" s="373"/>
      <c r="G469" s="197">
        <v>3347.9396099999999</v>
      </c>
      <c r="H469" s="197">
        <v>0</v>
      </c>
      <c r="I469" s="197">
        <v>0</v>
      </c>
    </row>
    <row r="470" spans="1:9" ht="63">
      <c r="A470" s="372" t="s">
        <v>1110</v>
      </c>
      <c r="B470" s="372" t="s">
        <v>30</v>
      </c>
      <c r="C470" s="372" t="s">
        <v>197</v>
      </c>
      <c r="D470" s="372" t="s">
        <v>200</v>
      </c>
      <c r="E470" s="372" t="s">
        <v>321</v>
      </c>
      <c r="F470" s="373"/>
      <c r="G470" s="197">
        <v>3347.9396099999999</v>
      </c>
      <c r="H470" s="197">
        <v>0</v>
      </c>
      <c r="I470" s="197">
        <v>0</v>
      </c>
    </row>
    <row r="471" spans="1:9" ht="63">
      <c r="A471" s="372" t="s">
        <v>1458</v>
      </c>
      <c r="B471" s="372" t="s">
        <v>30</v>
      </c>
      <c r="C471" s="372" t="s">
        <v>197</v>
      </c>
      <c r="D471" s="372" t="s">
        <v>200</v>
      </c>
      <c r="E471" s="372" t="s">
        <v>1161</v>
      </c>
      <c r="F471" s="373"/>
      <c r="G471" s="197">
        <v>3347.9396099999999</v>
      </c>
      <c r="H471" s="197">
        <v>0</v>
      </c>
      <c r="I471" s="197">
        <v>0</v>
      </c>
    </row>
    <row r="472" spans="1:9" ht="47.25">
      <c r="A472" s="372" t="s">
        <v>1191</v>
      </c>
      <c r="B472" s="372" t="s">
        <v>30</v>
      </c>
      <c r="C472" s="372" t="s">
        <v>197</v>
      </c>
      <c r="D472" s="372" t="s">
        <v>200</v>
      </c>
      <c r="E472" s="372" t="s">
        <v>1163</v>
      </c>
      <c r="F472" s="373"/>
      <c r="G472" s="197">
        <v>3347.9396099999999</v>
      </c>
      <c r="H472" s="197">
        <v>0</v>
      </c>
      <c r="I472" s="197">
        <v>0</v>
      </c>
    </row>
    <row r="473" spans="1:9" ht="63">
      <c r="A473" s="372" t="s">
        <v>758</v>
      </c>
      <c r="B473" s="372" t="s">
        <v>30</v>
      </c>
      <c r="C473" s="372" t="s">
        <v>197</v>
      </c>
      <c r="D473" s="372" t="s">
        <v>200</v>
      </c>
      <c r="E473" s="372" t="s">
        <v>1163</v>
      </c>
      <c r="F473" s="372" t="s">
        <v>266</v>
      </c>
      <c r="G473" s="197">
        <v>2846.4456599999999</v>
      </c>
      <c r="H473" s="197">
        <v>0</v>
      </c>
      <c r="I473" s="197">
        <v>0</v>
      </c>
    </row>
    <row r="474" spans="1:9" ht="47.25">
      <c r="A474" s="372" t="s">
        <v>810</v>
      </c>
      <c r="B474" s="372" t="s">
        <v>30</v>
      </c>
      <c r="C474" s="372" t="s">
        <v>197</v>
      </c>
      <c r="D474" s="372" t="s">
        <v>200</v>
      </c>
      <c r="E474" s="372" t="s">
        <v>1163</v>
      </c>
      <c r="F474" s="372" t="s">
        <v>270</v>
      </c>
      <c r="G474" s="197">
        <v>501.49394999999998</v>
      </c>
      <c r="H474" s="197">
        <v>0</v>
      </c>
      <c r="I474" s="197">
        <v>0</v>
      </c>
    </row>
    <row r="475" spans="1:9" ht="15.75">
      <c r="A475" s="372" t="s">
        <v>491</v>
      </c>
      <c r="B475" s="372" t="s">
        <v>30</v>
      </c>
      <c r="C475" s="372" t="s">
        <v>197</v>
      </c>
      <c r="D475" s="372" t="s">
        <v>197</v>
      </c>
      <c r="E475" s="373"/>
      <c r="F475" s="373"/>
      <c r="G475" s="197">
        <v>26.474160000000001</v>
      </c>
      <c r="H475" s="197">
        <v>0</v>
      </c>
      <c r="I475" s="197">
        <v>0</v>
      </c>
    </row>
    <row r="476" spans="1:9" ht="78.75">
      <c r="A476" s="372" t="s">
        <v>1119</v>
      </c>
      <c r="B476" s="372" t="s">
        <v>30</v>
      </c>
      <c r="C476" s="372" t="s">
        <v>197</v>
      </c>
      <c r="D476" s="372" t="s">
        <v>197</v>
      </c>
      <c r="E476" s="372" t="s">
        <v>345</v>
      </c>
      <c r="F476" s="373"/>
      <c r="G476" s="197">
        <v>26.474160000000001</v>
      </c>
      <c r="H476" s="197">
        <v>0</v>
      </c>
      <c r="I476" s="197">
        <v>0</v>
      </c>
    </row>
    <row r="477" spans="1:9" ht="47.25">
      <c r="A477" s="372" t="s">
        <v>1145</v>
      </c>
      <c r="B477" s="372" t="s">
        <v>30</v>
      </c>
      <c r="C477" s="372" t="s">
        <v>197</v>
      </c>
      <c r="D477" s="372" t="s">
        <v>197</v>
      </c>
      <c r="E477" s="372" t="s">
        <v>350</v>
      </c>
      <c r="F477" s="373"/>
      <c r="G477" s="197">
        <v>26.474160000000001</v>
      </c>
      <c r="H477" s="197">
        <v>0</v>
      </c>
      <c r="I477" s="197">
        <v>0</v>
      </c>
    </row>
    <row r="478" spans="1:9" ht="47.25">
      <c r="A478" s="372" t="s">
        <v>1471</v>
      </c>
      <c r="B478" s="372" t="s">
        <v>30</v>
      </c>
      <c r="C478" s="372" t="s">
        <v>197</v>
      </c>
      <c r="D478" s="372" t="s">
        <v>197</v>
      </c>
      <c r="E478" s="372" t="s">
        <v>351</v>
      </c>
      <c r="F478" s="373"/>
      <c r="G478" s="197">
        <v>26.474160000000001</v>
      </c>
      <c r="H478" s="197">
        <v>0</v>
      </c>
      <c r="I478" s="197">
        <v>0</v>
      </c>
    </row>
    <row r="479" spans="1:9" ht="63">
      <c r="A479" s="372" t="s">
        <v>782</v>
      </c>
      <c r="B479" s="372" t="s">
        <v>30</v>
      </c>
      <c r="C479" s="372" t="s">
        <v>197</v>
      </c>
      <c r="D479" s="372" t="s">
        <v>197</v>
      </c>
      <c r="E479" s="372" t="s">
        <v>352</v>
      </c>
      <c r="F479" s="373"/>
      <c r="G479" s="197">
        <v>26.474160000000001</v>
      </c>
      <c r="H479" s="197">
        <v>0</v>
      </c>
      <c r="I479" s="197">
        <v>0</v>
      </c>
    </row>
    <row r="480" spans="1:9" ht="63">
      <c r="A480" s="372" t="s">
        <v>755</v>
      </c>
      <c r="B480" s="372" t="s">
        <v>30</v>
      </c>
      <c r="C480" s="372" t="s">
        <v>197</v>
      </c>
      <c r="D480" s="372" t="s">
        <v>197</v>
      </c>
      <c r="E480" s="372" t="s">
        <v>352</v>
      </c>
      <c r="F480" s="372" t="s">
        <v>268</v>
      </c>
      <c r="G480" s="197">
        <v>26.474160000000001</v>
      </c>
      <c r="H480" s="197">
        <v>0</v>
      </c>
      <c r="I480" s="197">
        <v>0</v>
      </c>
    </row>
    <row r="481" spans="1:9" ht="47.25">
      <c r="A481" s="372" t="s">
        <v>126</v>
      </c>
      <c r="B481" s="372" t="s">
        <v>58</v>
      </c>
      <c r="C481" s="373"/>
      <c r="D481" s="373"/>
      <c r="E481" s="373"/>
      <c r="F481" s="373"/>
      <c r="G481" s="197">
        <v>61257.58685</v>
      </c>
      <c r="H481" s="197">
        <v>52489.459000000003</v>
      </c>
      <c r="I481" s="197">
        <v>52489.459000000003</v>
      </c>
    </row>
    <row r="482" spans="1:9" ht="15.75">
      <c r="A482" s="372" t="s">
        <v>475</v>
      </c>
      <c r="B482" s="372" t="s">
        <v>58</v>
      </c>
      <c r="C482" s="372" t="s">
        <v>197</v>
      </c>
      <c r="D482" s="373"/>
      <c r="E482" s="373"/>
      <c r="F482" s="373"/>
      <c r="G482" s="197">
        <v>45974.304640000002</v>
      </c>
      <c r="H482" s="197">
        <v>38719.209000000003</v>
      </c>
      <c r="I482" s="197">
        <v>38719.209000000003</v>
      </c>
    </row>
    <row r="483" spans="1:9" ht="31.5">
      <c r="A483" s="372" t="s">
        <v>476</v>
      </c>
      <c r="B483" s="372" t="s">
        <v>58</v>
      </c>
      <c r="C483" s="372" t="s">
        <v>197</v>
      </c>
      <c r="D483" s="372" t="s">
        <v>202</v>
      </c>
      <c r="E483" s="373"/>
      <c r="F483" s="373"/>
      <c r="G483" s="197">
        <v>45259.12444</v>
      </c>
      <c r="H483" s="197">
        <v>38719.209000000003</v>
      </c>
      <c r="I483" s="197">
        <v>38719.209000000003</v>
      </c>
    </row>
    <row r="484" spans="1:9" ht="63">
      <c r="A484" s="372" t="s">
        <v>477</v>
      </c>
      <c r="B484" s="372" t="s">
        <v>58</v>
      </c>
      <c r="C484" s="372" t="s">
        <v>197</v>
      </c>
      <c r="D484" s="372" t="s">
        <v>202</v>
      </c>
      <c r="E484" s="372" t="s">
        <v>303</v>
      </c>
      <c r="F484" s="373"/>
      <c r="G484" s="197">
        <v>44328.111400000002</v>
      </c>
      <c r="H484" s="197">
        <v>38719.209000000003</v>
      </c>
      <c r="I484" s="197">
        <v>38719.209000000003</v>
      </c>
    </row>
    <row r="485" spans="1:9" ht="63">
      <c r="A485" s="372" t="s">
        <v>478</v>
      </c>
      <c r="B485" s="372" t="s">
        <v>58</v>
      </c>
      <c r="C485" s="372" t="s">
        <v>197</v>
      </c>
      <c r="D485" s="372" t="s">
        <v>202</v>
      </c>
      <c r="E485" s="372" t="s">
        <v>313</v>
      </c>
      <c r="F485" s="373"/>
      <c r="G485" s="197">
        <v>42527.140399999997</v>
      </c>
      <c r="H485" s="197">
        <v>38719.209000000003</v>
      </c>
      <c r="I485" s="197">
        <v>38719.209000000003</v>
      </c>
    </row>
    <row r="486" spans="1:9" ht="78.75">
      <c r="A486" s="372" t="s">
        <v>1109</v>
      </c>
      <c r="B486" s="372" t="s">
        <v>58</v>
      </c>
      <c r="C486" s="372" t="s">
        <v>197</v>
      </c>
      <c r="D486" s="372" t="s">
        <v>202</v>
      </c>
      <c r="E486" s="372" t="s">
        <v>314</v>
      </c>
      <c r="F486" s="373"/>
      <c r="G486" s="197">
        <v>39350.928399999997</v>
      </c>
      <c r="H486" s="197">
        <v>38719.209000000003</v>
      </c>
      <c r="I486" s="197">
        <v>38719.209000000003</v>
      </c>
    </row>
    <row r="487" spans="1:9" ht="47.25">
      <c r="A487" s="372" t="s">
        <v>880</v>
      </c>
      <c r="B487" s="372" t="s">
        <v>58</v>
      </c>
      <c r="C487" s="372" t="s">
        <v>197</v>
      </c>
      <c r="D487" s="372" t="s">
        <v>202</v>
      </c>
      <c r="E487" s="372" t="s">
        <v>872</v>
      </c>
      <c r="F487" s="373"/>
      <c r="G487" s="197">
        <v>5801.777</v>
      </c>
      <c r="H487" s="197">
        <v>5801.777</v>
      </c>
      <c r="I487" s="197">
        <v>5801.777</v>
      </c>
    </row>
    <row r="488" spans="1:9" ht="63">
      <c r="A488" s="372" t="s">
        <v>755</v>
      </c>
      <c r="B488" s="372" t="s">
        <v>58</v>
      </c>
      <c r="C488" s="372" t="s">
        <v>197</v>
      </c>
      <c r="D488" s="372" t="s">
        <v>202</v>
      </c>
      <c r="E488" s="372" t="s">
        <v>872</v>
      </c>
      <c r="F488" s="372" t="s">
        <v>268</v>
      </c>
      <c r="G488" s="197">
        <v>5801.777</v>
      </c>
      <c r="H488" s="197">
        <v>5801.777</v>
      </c>
      <c r="I488" s="197">
        <v>5801.777</v>
      </c>
    </row>
    <row r="489" spans="1:9" ht="94.5">
      <c r="A489" s="372" t="s">
        <v>811</v>
      </c>
      <c r="B489" s="372" t="s">
        <v>58</v>
      </c>
      <c r="C489" s="372" t="s">
        <v>197</v>
      </c>
      <c r="D489" s="372" t="s">
        <v>202</v>
      </c>
      <c r="E489" s="372" t="s">
        <v>952</v>
      </c>
      <c r="F489" s="373"/>
      <c r="G489" s="197">
        <v>33231.151400000002</v>
      </c>
      <c r="H489" s="197">
        <v>32917.432000000001</v>
      </c>
      <c r="I489" s="197">
        <v>32917.432000000001</v>
      </c>
    </row>
    <row r="490" spans="1:9" ht="63">
      <c r="A490" s="372" t="s">
        <v>755</v>
      </c>
      <c r="B490" s="372" t="s">
        <v>58</v>
      </c>
      <c r="C490" s="372" t="s">
        <v>197</v>
      </c>
      <c r="D490" s="372" t="s">
        <v>202</v>
      </c>
      <c r="E490" s="372" t="s">
        <v>952</v>
      </c>
      <c r="F490" s="372" t="s">
        <v>268</v>
      </c>
      <c r="G490" s="197">
        <v>33231.151400000002</v>
      </c>
      <c r="H490" s="197">
        <v>32917.432000000001</v>
      </c>
      <c r="I490" s="197">
        <v>32917.432000000001</v>
      </c>
    </row>
    <row r="491" spans="1:9" ht="47.25">
      <c r="A491" s="372" t="s">
        <v>1207</v>
      </c>
      <c r="B491" s="372" t="s">
        <v>58</v>
      </c>
      <c r="C491" s="372" t="s">
        <v>197</v>
      </c>
      <c r="D491" s="372" t="s">
        <v>202</v>
      </c>
      <c r="E491" s="372" t="s">
        <v>1193</v>
      </c>
      <c r="F491" s="373"/>
      <c r="G491" s="197">
        <v>318</v>
      </c>
      <c r="H491" s="197">
        <v>0</v>
      </c>
      <c r="I491" s="197">
        <v>0</v>
      </c>
    </row>
    <row r="492" spans="1:9" ht="63">
      <c r="A492" s="372" t="s">
        <v>755</v>
      </c>
      <c r="B492" s="372" t="s">
        <v>58</v>
      </c>
      <c r="C492" s="372" t="s">
        <v>197</v>
      </c>
      <c r="D492" s="372" t="s">
        <v>202</v>
      </c>
      <c r="E492" s="372" t="s">
        <v>1193</v>
      </c>
      <c r="F492" s="372" t="s">
        <v>268</v>
      </c>
      <c r="G492" s="197">
        <v>318</v>
      </c>
      <c r="H492" s="197">
        <v>0</v>
      </c>
      <c r="I492" s="197">
        <v>0</v>
      </c>
    </row>
    <row r="493" spans="1:9" ht="94.5">
      <c r="A493" s="372" t="s">
        <v>1453</v>
      </c>
      <c r="B493" s="372" t="s">
        <v>58</v>
      </c>
      <c r="C493" s="372" t="s">
        <v>197</v>
      </c>
      <c r="D493" s="372" t="s">
        <v>202</v>
      </c>
      <c r="E493" s="372" t="s">
        <v>316</v>
      </c>
      <c r="F493" s="373"/>
      <c r="G493" s="197">
        <v>3176.212</v>
      </c>
      <c r="H493" s="197">
        <v>0</v>
      </c>
      <c r="I493" s="197">
        <v>0</v>
      </c>
    </row>
    <row r="494" spans="1:9" ht="141.75">
      <c r="A494" s="372" t="s">
        <v>862</v>
      </c>
      <c r="B494" s="372" t="s">
        <v>58</v>
      </c>
      <c r="C494" s="372" t="s">
        <v>197</v>
      </c>
      <c r="D494" s="372" t="s">
        <v>202</v>
      </c>
      <c r="E494" s="372" t="s">
        <v>958</v>
      </c>
      <c r="F494" s="373"/>
      <c r="G494" s="197">
        <v>3176.212</v>
      </c>
      <c r="H494" s="197">
        <v>0</v>
      </c>
      <c r="I494" s="197">
        <v>0</v>
      </c>
    </row>
    <row r="495" spans="1:9" ht="63">
      <c r="A495" s="372" t="s">
        <v>755</v>
      </c>
      <c r="B495" s="372" t="s">
        <v>58</v>
      </c>
      <c r="C495" s="372" t="s">
        <v>197</v>
      </c>
      <c r="D495" s="372" t="s">
        <v>202</v>
      </c>
      <c r="E495" s="372" t="s">
        <v>958</v>
      </c>
      <c r="F495" s="372" t="s">
        <v>268</v>
      </c>
      <c r="G495" s="197">
        <v>3176.212</v>
      </c>
      <c r="H495" s="197">
        <v>0</v>
      </c>
      <c r="I495" s="197">
        <v>0</v>
      </c>
    </row>
    <row r="496" spans="1:9" ht="63">
      <c r="A496" s="372" t="s">
        <v>1110</v>
      </c>
      <c r="B496" s="372" t="s">
        <v>58</v>
      </c>
      <c r="C496" s="372" t="s">
        <v>197</v>
      </c>
      <c r="D496" s="372" t="s">
        <v>202</v>
      </c>
      <c r="E496" s="372" t="s">
        <v>321</v>
      </c>
      <c r="F496" s="373"/>
      <c r="G496" s="197">
        <v>1800.971</v>
      </c>
      <c r="H496" s="197">
        <v>0</v>
      </c>
      <c r="I496" s="197">
        <v>0</v>
      </c>
    </row>
    <row r="497" spans="1:9" ht="47.25">
      <c r="A497" s="372" t="s">
        <v>1454</v>
      </c>
      <c r="B497" s="372" t="s">
        <v>58</v>
      </c>
      <c r="C497" s="372" t="s">
        <v>197</v>
      </c>
      <c r="D497" s="372" t="s">
        <v>202</v>
      </c>
      <c r="E497" s="372" t="s">
        <v>322</v>
      </c>
      <c r="F497" s="373"/>
      <c r="G497" s="197">
        <v>1800.971</v>
      </c>
      <c r="H497" s="197">
        <v>0</v>
      </c>
      <c r="I497" s="197">
        <v>0</v>
      </c>
    </row>
    <row r="498" spans="1:9" ht="63">
      <c r="A498" s="372" t="s">
        <v>1185</v>
      </c>
      <c r="B498" s="372" t="s">
        <v>58</v>
      </c>
      <c r="C498" s="372" t="s">
        <v>197</v>
      </c>
      <c r="D498" s="372" t="s">
        <v>202</v>
      </c>
      <c r="E498" s="372" t="s">
        <v>1261</v>
      </c>
      <c r="F498" s="373"/>
      <c r="G498" s="197">
        <v>1800.971</v>
      </c>
      <c r="H498" s="197">
        <v>0</v>
      </c>
      <c r="I498" s="197">
        <v>0</v>
      </c>
    </row>
    <row r="499" spans="1:9" ht="63">
      <c r="A499" s="372" t="s">
        <v>755</v>
      </c>
      <c r="B499" s="372" t="s">
        <v>58</v>
      </c>
      <c r="C499" s="372" t="s">
        <v>197</v>
      </c>
      <c r="D499" s="372" t="s">
        <v>202</v>
      </c>
      <c r="E499" s="372" t="s">
        <v>1261</v>
      </c>
      <c r="F499" s="372" t="s">
        <v>268</v>
      </c>
      <c r="G499" s="197">
        <v>1800.971</v>
      </c>
      <c r="H499" s="197">
        <v>0</v>
      </c>
      <c r="I499" s="197">
        <v>0</v>
      </c>
    </row>
    <row r="500" spans="1:9" ht="110.25">
      <c r="A500" s="372" t="s">
        <v>1155</v>
      </c>
      <c r="B500" s="372" t="s">
        <v>58</v>
      </c>
      <c r="C500" s="372" t="s">
        <v>197</v>
      </c>
      <c r="D500" s="372" t="s">
        <v>202</v>
      </c>
      <c r="E500" s="372" t="s">
        <v>377</v>
      </c>
      <c r="F500" s="373"/>
      <c r="G500" s="197">
        <v>178.2</v>
      </c>
      <c r="H500" s="197">
        <v>0</v>
      </c>
      <c r="I500" s="197">
        <v>0</v>
      </c>
    </row>
    <row r="501" spans="1:9" ht="110.25">
      <c r="A501" s="372" t="s">
        <v>1443</v>
      </c>
      <c r="B501" s="372" t="s">
        <v>58</v>
      </c>
      <c r="C501" s="372" t="s">
        <v>197</v>
      </c>
      <c r="D501" s="372" t="s">
        <v>202</v>
      </c>
      <c r="E501" s="372" t="s">
        <v>377</v>
      </c>
      <c r="F501" s="373"/>
      <c r="G501" s="197">
        <v>178.2</v>
      </c>
      <c r="H501" s="197">
        <v>0</v>
      </c>
      <c r="I501" s="197">
        <v>0</v>
      </c>
    </row>
    <row r="502" spans="1:9" ht="63">
      <c r="A502" s="372" t="s">
        <v>1472</v>
      </c>
      <c r="B502" s="372" t="s">
        <v>58</v>
      </c>
      <c r="C502" s="372" t="s">
        <v>197</v>
      </c>
      <c r="D502" s="372" t="s">
        <v>202</v>
      </c>
      <c r="E502" s="372" t="s">
        <v>1361</v>
      </c>
      <c r="F502" s="373"/>
      <c r="G502" s="197">
        <v>178.2</v>
      </c>
      <c r="H502" s="197">
        <v>0</v>
      </c>
      <c r="I502" s="197">
        <v>0</v>
      </c>
    </row>
    <row r="503" spans="1:9" ht="47.25">
      <c r="A503" s="372" t="s">
        <v>1373</v>
      </c>
      <c r="B503" s="372" t="s">
        <v>58</v>
      </c>
      <c r="C503" s="372" t="s">
        <v>197</v>
      </c>
      <c r="D503" s="372" t="s">
        <v>202</v>
      </c>
      <c r="E503" s="372" t="s">
        <v>1363</v>
      </c>
      <c r="F503" s="373"/>
      <c r="G503" s="197">
        <v>178.2</v>
      </c>
      <c r="H503" s="197">
        <v>0</v>
      </c>
      <c r="I503" s="197">
        <v>0</v>
      </c>
    </row>
    <row r="504" spans="1:9" ht="63">
      <c r="A504" s="372" t="s">
        <v>755</v>
      </c>
      <c r="B504" s="372" t="s">
        <v>58</v>
      </c>
      <c r="C504" s="372" t="s">
        <v>197</v>
      </c>
      <c r="D504" s="372" t="s">
        <v>202</v>
      </c>
      <c r="E504" s="372" t="s">
        <v>1363</v>
      </c>
      <c r="F504" s="372" t="s">
        <v>268</v>
      </c>
      <c r="G504" s="197">
        <v>178.2</v>
      </c>
      <c r="H504" s="197">
        <v>0</v>
      </c>
      <c r="I504" s="197">
        <v>0</v>
      </c>
    </row>
    <row r="505" spans="1:9" ht="47.25">
      <c r="A505" s="372" t="s">
        <v>1273</v>
      </c>
      <c r="B505" s="372" t="s">
        <v>58</v>
      </c>
      <c r="C505" s="372" t="s">
        <v>197</v>
      </c>
      <c r="D505" s="372" t="s">
        <v>202</v>
      </c>
      <c r="E505" s="372" t="s">
        <v>1266</v>
      </c>
      <c r="F505" s="373"/>
      <c r="G505" s="197">
        <v>736.84211000000005</v>
      </c>
      <c r="H505" s="197">
        <v>0</v>
      </c>
      <c r="I505" s="197">
        <v>0</v>
      </c>
    </row>
    <row r="506" spans="1:9" ht="31.5">
      <c r="A506" s="372" t="s">
        <v>509</v>
      </c>
      <c r="B506" s="372" t="s">
        <v>58</v>
      </c>
      <c r="C506" s="372" t="s">
        <v>197</v>
      </c>
      <c r="D506" s="372" t="s">
        <v>202</v>
      </c>
      <c r="E506" s="372" t="s">
        <v>1267</v>
      </c>
      <c r="F506" s="373"/>
      <c r="G506" s="197">
        <v>736.84211000000005</v>
      </c>
      <c r="H506" s="197">
        <v>0</v>
      </c>
      <c r="I506" s="197">
        <v>0</v>
      </c>
    </row>
    <row r="507" spans="1:9" ht="31.5">
      <c r="A507" s="372" t="s">
        <v>1441</v>
      </c>
      <c r="B507" s="372" t="s">
        <v>58</v>
      </c>
      <c r="C507" s="372" t="s">
        <v>197</v>
      </c>
      <c r="D507" s="372" t="s">
        <v>202</v>
      </c>
      <c r="E507" s="372" t="s">
        <v>1267</v>
      </c>
      <c r="F507" s="373"/>
      <c r="G507" s="197">
        <v>736.84211000000005</v>
      </c>
      <c r="H507" s="197">
        <v>0</v>
      </c>
      <c r="I507" s="197">
        <v>0</v>
      </c>
    </row>
    <row r="508" spans="1:9" ht="47.25">
      <c r="A508" s="372" t="s">
        <v>1274</v>
      </c>
      <c r="B508" s="372" t="s">
        <v>58</v>
      </c>
      <c r="C508" s="372" t="s">
        <v>197</v>
      </c>
      <c r="D508" s="372" t="s">
        <v>202</v>
      </c>
      <c r="E508" s="372" t="s">
        <v>1269</v>
      </c>
      <c r="F508" s="373"/>
      <c r="G508" s="197">
        <v>736.84211000000005</v>
      </c>
      <c r="H508" s="197">
        <v>0</v>
      </c>
      <c r="I508" s="197">
        <v>0</v>
      </c>
    </row>
    <row r="509" spans="1:9" ht="63">
      <c r="A509" s="372" t="s">
        <v>755</v>
      </c>
      <c r="B509" s="372" t="s">
        <v>58</v>
      </c>
      <c r="C509" s="372" t="s">
        <v>197</v>
      </c>
      <c r="D509" s="372" t="s">
        <v>202</v>
      </c>
      <c r="E509" s="372" t="s">
        <v>1269</v>
      </c>
      <c r="F509" s="372" t="s">
        <v>268</v>
      </c>
      <c r="G509" s="197">
        <v>736.84211000000005</v>
      </c>
      <c r="H509" s="197">
        <v>0</v>
      </c>
      <c r="I509" s="197">
        <v>0</v>
      </c>
    </row>
    <row r="510" spans="1:9" ht="63">
      <c r="A510" s="372" t="s">
        <v>524</v>
      </c>
      <c r="B510" s="372" t="s">
        <v>58</v>
      </c>
      <c r="C510" s="372" t="s">
        <v>197</v>
      </c>
      <c r="D510" s="372" t="s">
        <v>202</v>
      </c>
      <c r="E510" s="372" t="s">
        <v>444</v>
      </c>
      <c r="F510" s="373"/>
      <c r="G510" s="197">
        <v>15.970929999999999</v>
      </c>
      <c r="H510" s="197">
        <v>0</v>
      </c>
      <c r="I510" s="197">
        <v>0</v>
      </c>
    </row>
    <row r="511" spans="1:9" ht="31.5">
      <c r="A511" s="372" t="s">
        <v>509</v>
      </c>
      <c r="B511" s="372" t="s">
        <v>58</v>
      </c>
      <c r="C511" s="372" t="s">
        <v>197</v>
      </c>
      <c r="D511" s="372" t="s">
        <v>202</v>
      </c>
      <c r="E511" s="372" t="s">
        <v>445</v>
      </c>
      <c r="F511" s="373"/>
      <c r="G511" s="197">
        <v>15.970929999999999</v>
      </c>
      <c r="H511" s="197">
        <v>0</v>
      </c>
      <c r="I511" s="197">
        <v>0</v>
      </c>
    </row>
    <row r="512" spans="1:9" ht="31.5">
      <c r="A512" s="372" t="s">
        <v>1441</v>
      </c>
      <c r="B512" s="372" t="s">
        <v>58</v>
      </c>
      <c r="C512" s="372" t="s">
        <v>197</v>
      </c>
      <c r="D512" s="372" t="s">
        <v>202</v>
      </c>
      <c r="E512" s="372" t="s">
        <v>445</v>
      </c>
      <c r="F512" s="373"/>
      <c r="G512" s="197">
        <v>15.970929999999999</v>
      </c>
      <c r="H512" s="197">
        <v>0</v>
      </c>
      <c r="I512" s="197">
        <v>0</v>
      </c>
    </row>
    <row r="513" spans="1:9" ht="31.5">
      <c r="A513" s="372" t="s">
        <v>1186</v>
      </c>
      <c r="B513" s="372" t="s">
        <v>58</v>
      </c>
      <c r="C513" s="372" t="s">
        <v>197</v>
      </c>
      <c r="D513" s="372" t="s">
        <v>202</v>
      </c>
      <c r="E513" s="372" t="s">
        <v>1181</v>
      </c>
      <c r="F513" s="373"/>
      <c r="G513" s="197">
        <v>9.9709299999999992</v>
      </c>
      <c r="H513" s="197">
        <v>0</v>
      </c>
      <c r="I513" s="197">
        <v>0</v>
      </c>
    </row>
    <row r="514" spans="1:9" ht="63">
      <c r="A514" s="372" t="s">
        <v>755</v>
      </c>
      <c r="B514" s="372" t="s">
        <v>58</v>
      </c>
      <c r="C514" s="372" t="s">
        <v>197</v>
      </c>
      <c r="D514" s="372" t="s">
        <v>202</v>
      </c>
      <c r="E514" s="372" t="s">
        <v>1181</v>
      </c>
      <c r="F514" s="372" t="s">
        <v>268</v>
      </c>
      <c r="G514" s="197">
        <v>9.9709299999999992</v>
      </c>
      <c r="H514" s="197">
        <v>0</v>
      </c>
      <c r="I514" s="197">
        <v>0</v>
      </c>
    </row>
    <row r="515" spans="1:9" ht="47.25">
      <c r="A515" s="372" t="s">
        <v>1272</v>
      </c>
      <c r="B515" s="372" t="s">
        <v>58</v>
      </c>
      <c r="C515" s="372" t="s">
        <v>197</v>
      </c>
      <c r="D515" s="372" t="s">
        <v>202</v>
      </c>
      <c r="E515" s="372" t="s">
        <v>1271</v>
      </c>
      <c r="F515" s="373"/>
      <c r="G515" s="197">
        <v>6</v>
      </c>
      <c r="H515" s="197">
        <v>0</v>
      </c>
      <c r="I515" s="197">
        <v>0</v>
      </c>
    </row>
    <row r="516" spans="1:9" ht="63">
      <c r="A516" s="372" t="s">
        <v>755</v>
      </c>
      <c r="B516" s="372" t="s">
        <v>58</v>
      </c>
      <c r="C516" s="372" t="s">
        <v>197</v>
      </c>
      <c r="D516" s="372" t="s">
        <v>202</v>
      </c>
      <c r="E516" s="372" t="s">
        <v>1271</v>
      </c>
      <c r="F516" s="372" t="s">
        <v>268</v>
      </c>
      <c r="G516" s="197">
        <v>6</v>
      </c>
      <c r="H516" s="197">
        <v>0</v>
      </c>
      <c r="I516" s="197">
        <v>0</v>
      </c>
    </row>
    <row r="517" spans="1:9" ht="15.75">
      <c r="A517" s="372" t="s">
        <v>491</v>
      </c>
      <c r="B517" s="372" t="s">
        <v>58</v>
      </c>
      <c r="C517" s="372" t="s">
        <v>197</v>
      </c>
      <c r="D517" s="372" t="s">
        <v>197</v>
      </c>
      <c r="E517" s="373"/>
      <c r="F517" s="373"/>
      <c r="G517" s="197">
        <v>715.18020000000001</v>
      </c>
      <c r="H517" s="197">
        <v>0</v>
      </c>
      <c r="I517" s="197">
        <v>0</v>
      </c>
    </row>
    <row r="518" spans="1:9" ht="78.75">
      <c r="A518" s="372" t="s">
        <v>1119</v>
      </c>
      <c r="B518" s="372" t="s">
        <v>58</v>
      </c>
      <c r="C518" s="372" t="s">
        <v>197</v>
      </c>
      <c r="D518" s="372" t="s">
        <v>197</v>
      </c>
      <c r="E518" s="372" t="s">
        <v>345</v>
      </c>
      <c r="F518" s="373"/>
      <c r="G518" s="197">
        <v>715.18020000000001</v>
      </c>
      <c r="H518" s="197">
        <v>0</v>
      </c>
      <c r="I518" s="197">
        <v>0</v>
      </c>
    </row>
    <row r="519" spans="1:9" ht="31.5">
      <c r="A519" s="372" t="s">
        <v>479</v>
      </c>
      <c r="B519" s="372" t="s">
        <v>58</v>
      </c>
      <c r="C519" s="372" t="s">
        <v>197</v>
      </c>
      <c r="D519" s="372" t="s">
        <v>197</v>
      </c>
      <c r="E519" s="372" t="s">
        <v>348</v>
      </c>
      <c r="F519" s="373"/>
      <c r="G519" s="197">
        <v>715.18020000000001</v>
      </c>
      <c r="H519" s="197">
        <v>0</v>
      </c>
      <c r="I519" s="197">
        <v>0</v>
      </c>
    </row>
    <row r="520" spans="1:9" ht="31.5">
      <c r="A520" s="372" t="s">
        <v>762</v>
      </c>
      <c r="B520" s="372" t="s">
        <v>58</v>
      </c>
      <c r="C520" s="372" t="s">
        <v>197</v>
      </c>
      <c r="D520" s="372" t="s">
        <v>197</v>
      </c>
      <c r="E520" s="372" t="s">
        <v>1007</v>
      </c>
      <c r="F520" s="373"/>
      <c r="G520" s="197">
        <v>715.18020000000001</v>
      </c>
      <c r="H520" s="197">
        <v>0</v>
      </c>
      <c r="I520" s="197">
        <v>0</v>
      </c>
    </row>
    <row r="521" spans="1:9" ht="63">
      <c r="A521" s="372" t="s">
        <v>919</v>
      </c>
      <c r="B521" s="372" t="s">
        <v>58</v>
      </c>
      <c r="C521" s="372" t="s">
        <v>197</v>
      </c>
      <c r="D521" s="372" t="s">
        <v>197</v>
      </c>
      <c r="E521" s="372" t="s">
        <v>1013</v>
      </c>
      <c r="F521" s="373"/>
      <c r="G521" s="197">
        <v>715.18020000000001</v>
      </c>
      <c r="H521" s="197">
        <v>0</v>
      </c>
      <c r="I521" s="197">
        <v>0</v>
      </c>
    </row>
    <row r="522" spans="1:9" ht="63">
      <c r="A522" s="372" t="s">
        <v>755</v>
      </c>
      <c r="B522" s="372" t="s">
        <v>58</v>
      </c>
      <c r="C522" s="372" t="s">
        <v>197</v>
      </c>
      <c r="D522" s="372" t="s">
        <v>197</v>
      </c>
      <c r="E522" s="372" t="s">
        <v>1013</v>
      </c>
      <c r="F522" s="372" t="s">
        <v>268</v>
      </c>
      <c r="G522" s="197">
        <v>715.18020000000001</v>
      </c>
      <c r="H522" s="197">
        <v>0</v>
      </c>
      <c r="I522" s="197">
        <v>0</v>
      </c>
    </row>
    <row r="523" spans="1:9" ht="31.5">
      <c r="A523" s="372" t="s">
        <v>516</v>
      </c>
      <c r="B523" s="372" t="s">
        <v>58</v>
      </c>
      <c r="C523" s="372" t="s">
        <v>5</v>
      </c>
      <c r="D523" s="373"/>
      <c r="E523" s="373"/>
      <c r="F523" s="373"/>
      <c r="G523" s="197">
        <v>15283.282209999999</v>
      </c>
      <c r="H523" s="197">
        <v>13770.25</v>
      </c>
      <c r="I523" s="197">
        <v>13770.25</v>
      </c>
    </row>
    <row r="524" spans="1:9" ht="15.75">
      <c r="A524" s="372" t="s">
        <v>517</v>
      </c>
      <c r="B524" s="372" t="s">
        <v>58</v>
      </c>
      <c r="C524" s="372" t="s">
        <v>5</v>
      </c>
      <c r="D524" s="372" t="s">
        <v>198</v>
      </c>
      <c r="E524" s="373"/>
      <c r="F524" s="373"/>
      <c r="G524" s="197">
        <v>12405.88967</v>
      </c>
      <c r="H524" s="197">
        <v>10909.126</v>
      </c>
      <c r="I524" s="197">
        <v>10909.126</v>
      </c>
    </row>
    <row r="525" spans="1:9" ht="78.75">
      <c r="A525" s="372" t="s">
        <v>518</v>
      </c>
      <c r="B525" s="372" t="s">
        <v>58</v>
      </c>
      <c r="C525" s="372" t="s">
        <v>5</v>
      </c>
      <c r="D525" s="372" t="s">
        <v>198</v>
      </c>
      <c r="E525" s="372" t="s">
        <v>340</v>
      </c>
      <c r="F525" s="373"/>
      <c r="G525" s="197">
        <v>12029.600200000001</v>
      </c>
      <c r="H525" s="197">
        <v>10909.126</v>
      </c>
      <c r="I525" s="197">
        <v>10909.126</v>
      </c>
    </row>
    <row r="526" spans="1:9" ht="47.25">
      <c r="A526" s="372" t="s">
        <v>882</v>
      </c>
      <c r="B526" s="372" t="s">
        <v>58</v>
      </c>
      <c r="C526" s="372" t="s">
        <v>5</v>
      </c>
      <c r="D526" s="372" t="s">
        <v>198</v>
      </c>
      <c r="E526" s="372" t="s">
        <v>341</v>
      </c>
      <c r="F526" s="373"/>
      <c r="G526" s="197">
        <v>1530.1</v>
      </c>
      <c r="H526" s="197">
        <v>447.1</v>
      </c>
      <c r="I526" s="197">
        <v>447.1</v>
      </c>
    </row>
    <row r="527" spans="1:9" ht="78.75">
      <c r="A527" s="372" t="s">
        <v>1473</v>
      </c>
      <c r="B527" s="372" t="s">
        <v>58</v>
      </c>
      <c r="C527" s="372" t="s">
        <v>5</v>
      </c>
      <c r="D527" s="372" t="s">
        <v>198</v>
      </c>
      <c r="E527" s="372" t="s">
        <v>342</v>
      </c>
      <c r="F527" s="373"/>
      <c r="G527" s="197">
        <v>267.10000000000002</v>
      </c>
      <c r="H527" s="197">
        <v>267.10000000000002</v>
      </c>
      <c r="I527" s="197">
        <v>267.10000000000002</v>
      </c>
    </row>
    <row r="528" spans="1:9" ht="110.25">
      <c r="A528" s="372" t="s">
        <v>812</v>
      </c>
      <c r="B528" s="372" t="s">
        <v>58</v>
      </c>
      <c r="C528" s="372" t="s">
        <v>5</v>
      </c>
      <c r="D528" s="372" t="s">
        <v>198</v>
      </c>
      <c r="E528" s="372" t="s">
        <v>464</v>
      </c>
      <c r="F528" s="373"/>
      <c r="G528" s="197">
        <v>267.10000000000002</v>
      </c>
      <c r="H528" s="197">
        <v>267.10000000000002</v>
      </c>
      <c r="I528" s="197">
        <v>267.10000000000002</v>
      </c>
    </row>
    <row r="529" spans="1:9" ht="63">
      <c r="A529" s="372" t="s">
        <v>755</v>
      </c>
      <c r="B529" s="372" t="s">
        <v>58</v>
      </c>
      <c r="C529" s="372" t="s">
        <v>5</v>
      </c>
      <c r="D529" s="372" t="s">
        <v>198</v>
      </c>
      <c r="E529" s="372" t="s">
        <v>464</v>
      </c>
      <c r="F529" s="372" t="s">
        <v>268</v>
      </c>
      <c r="G529" s="197">
        <v>267.10000000000002</v>
      </c>
      <c r="H529" s="197">
        <v>267.10000000000002</v>
      </c>
      <c r="I529" s="197">
        <v>267.10000000000002</v>
      </c>
    </row>
    <row r="530" spans="1:9" ht="78.75">
      <c r="A530" s="372" t="s">
        <v>1208</v>
      </c>
      <c r="B530" s="372" t="s">
        <v>58</v>
      </c>
      <c r="C530" s="372" t="s">
        <v>5</v>
      </c>
      <c r="D530" s="372" t="s">
        <v>198</v>
      </c>
      <c r="E530" s="372" t="s">
        <v>1197</v>
      </c>
      <c r="F530" s="373"/>
      <c r="G530" s="197">
        <v>833</v>
      </c>
      <c r="H530" s="197">
        <v>0</v>
      </c>
      <c r="I530" s="197">
        <v>0</v>
      </c>
    </row>
    <row r="531" spans="1:9" ht="94.5">
      <c r="A531" s="372" t="s">
        <v>1209</v>
      </c>
      <c r="B531" s="372" t="s">
        <v>58</v>
      </c>
      <c r="C531" s="372" t="s">
        <v>5</v>
      </c>
      <c r="D531" s="372" t="s">
        <v>198</v>
      </c>
      <c r="E531" s="372" t="s">
        <v>1199</v>
      </c>
      <c r="F531" s="373"/>
      <c r="G531" s="197">
        <v>833</v>
      </c>
      <c r="H531" s="197">
        <v>0</v>
      </c>
      <c r="I531" s="197">
        <v>0</v>
      </c>
    </row>
    <row r="532" spans="1:9" ht="63">
      <c r="A532" s="372" t="s">
        <v>758</v>
      </c>
      <c r="B532" s="372" t="s">
        <v>58</v>
      </c>
      <c r="C532" s="372" t="s">
        <v>5</v>
      </c>
      <c r="D532" s="372" t="s">
        <v>198</v>
      </c>
      <c r="E532" s="372" t="s">
        <v>1199</v>
      </c>
      <c r="F532" s="372" t="s">
        <v>266</v>
      </c>
      <c r="G532" s="197">
        <v>833</v>
      </c>
      <c r="H532" s="197">
        <v>0</v>
      </c>
      <c r="I532" s="197">
        <v>0</v>
      </c>
    </row>
    <row r="533" spans="1:9" ht="94.5">
      <c r="A533" s="372" t="s">
        <v>1474</v>
      </c>
      <c r="B533" s="372" t="s">
        <v>58</v>
      </c>
      <c r="C533" s="372" t="s">
        <v>5</v>
      </c>
      <c r="D533" s="372" t="s">
        <v>198</v>
      </c>
      <c r="E533" s="372" t="s">
        <v>985</v>
      </c>
      <c r="F533" s="373"/>
      <c r="G533" s="197">
        <v>430</v>
      </c>
      <c r="H533" s="197">
        <v>180</v>
      </c>
      <c r="I533" s="197">
        <v>180</v>
      </c>
    </row>
    <row r="534" spans="1:9" ht="63">
      <c r="A534" s="372" t="s">
        <v>1185</v>
      </c>
      <c r="B534" s="372" t="s">
        <v>58</v>
      </c>
      <c r="C534" s="372" t="s">
        <v>5</v>
      </c>
      <c r="D534" s="372" t="s">
        <v>198</v>
      </c>
      <c r="E534" s="372" t="s">
        <v>1263</v>
      </c>
      <c r="F534" s="373"/>
      <c r="G534" s="197">
        <v>100</v>
      </c>
      <c r="H534" s="197">
        <v>0</v>
      </c>
      <c r="I534" s="197">
        <v>0</v>
      </c>
    </row>
    <row r="535" spans="1:9" ht="63">
      <c r="A535" s="372" t="s">
        <v>755</v>
      </c>
      <c r="B535" s="372" t="s">
        <v>58</v>
      </c>
      <c r="C535" s="372" t="s">
        <v>5</v>
      </c>
      <c r="D535" s="372" t="s">
        <v>198</v>
      </c>
      <c r="E535" s="372" t="s">
        <v>1263</v>
      </c>
      <c r="F535" s="372" t="s">
        <v>268</v>
      </c>
      <c r="G535" s="197">
        <v>100</v>
      </c>
      <c r="H535" s="197">
        <v>0</v>
      </c>
      <c r="I535" s="197">
        <v>0</v>
      </c>
    </row>
    <row r="536" spans="1:9" ht="78.75">
      <c r="A536" s="372" t="s">
        <v>813</v>
      </c>
      <c r="B536" s="372" t="s">
        <v>58</v>
      </c>
      <c r="C536" s="372" t="s">
        <v>5</v>
      </c>
      <c r="D536" s="372" t="s">
        <v>198</v>
      </c>
      <c r="E536" s="372" t="s">
        <v>986</v>
      </c>
      <c r="F536" s="373"/>
      <c r="G536" s="197">
        <v>300</v>
      </c>
      <c r="H536" s="197">
        <v>150</v>
      </c>
      <c r="I536" s="197">
        <v>150</v>
      </c>
    </row>
    <row r="537" spans="1:9" ht="63">
      <c r="A537" s="372" t="s">
        <v>758</v>
      </c>
      <c r="B537" s="372" t="s">
        <v>58</v>
      </c>
      <c r="C537" s="372" t="s">
        <v>5</v>
      </c>
      <c r="D537" s="372" t="s">
        <v>198</v>
      </c>
      <c r="E537" s="372" t="s">
        <v>986</v>
      </c>
      <c r="F537" s="372" t="s">
        <v>266</v>
      </c>
      <c r="G537" s="197">
        <v>150</v>
      </c>
      <c r="H537" s="197">
        <v>75</v>
      </c>
      <c r="I537" s="197">
        <v>75</v>
      </c>
    </row>
    <row r="538" spans="1:9" ht="63">
      <c r="A538" s="372" t="s">
        <v>755</v>
      </c>
      <c r="B538" s="372" t="s">
        <v>58</v>
      </c>
      <c r="C538" s="372" t="s">
        <v>5</v>
      </c>
      <c r="D538" s="372" t="s">
        <v>198</v>
      </c>
      <c r="E538" s="372" t="s">
        <v>986</v>
      </c>
      <c r="F538" s="372" t="s">
        <v>268</v>
      </c>
      <c r="G538" s="197">
        <v>150</v>
      </c>
      <c r="H538" s="197">
        <v>75</v>
      </c>
      <c r="I538" s="197">
        <v>75</v>
      </c>
    </row>
    <row r="539" spans="1:9" ht="63">
      <c r="A539" s="372" t="s">
        <v>814</v>
      </c>
      <c r="B539" s="372" t="s">
        <v>58</v>
      </c>
      <c r="C539" s="372" t="s">
        <v>5</v>
      </c>
      <c r="D539" s="372" t="s">
        <v>198</v>
      </c>
      <c r="E539" s="372" t="s">
        <v>987</v>
      </c>
      <c r="F539" s="373"/>
      <c r="G539" s="197">
        <v>30</v>
      </c>
      <c r="H539" s="197">
        <v>30</v>
      </c>
      <c r="I539" s="197">
        <v>30</v>
      </c>
    </row>
    <row r="540" spans="1:9" ht="63">
      <c r="A540" s="372" t="s">
        <v>758</v>
      </c>
      <c r="B540" s="372" t="s">
        <v>58</v>
      </c>
      <c r="C540" s="372" t="s">
        <v>5</v>
      </c>
      <c r="D540" s="372" t="s">
        <v>198</v>
      </c>
      <c r="E540" s="372" t="s">
        <v>987</v>
      </c>
      <c r="F540" s="372" t="s">
        <v>266</v>
      </c>
      <c r="G540" s="197">
        <v>30</v>
      </c>
      <c r="H540" s="197">
        <v>30</v>
      </c>
      <c r="I540" s="197">
        <v>30</v>
      </c>
    </row>
    <row r="541" spans="1:9" ht="47.25">
      <c r="A541" s="372" t="s">
        <v>1137</v>
      </c>
      <c r="B541" s="372" t="s">
        <v>58</v>
      </c>
      <c r="C541" s="372" t="s">
        <v>5</v>
      </c>
      <c r="D541" s="372" t="s">
        <v>198</v>
      </c>
      <c r="E541" s="372" t="s">
        <v>343</v>
      </c>
      <c r="F541" s="373"/>
      <c r="G541" s="197">
        <v>10499.5002</v>
      </c>
      <c r="H541" s="197">
        <v>10462.026</v>
      </c>
      <c r="I541" s="197">
        <v>10462.026</v>
      </c>
    </row>
    <row r="542" spans="1:9" ht="94.5">
      <c r="A542" s="372" t="s">
        <v>1138</v>
      </c>
      <c r="B542" s="372" t="s">
        <v>58</v>
      </c>
      <c r="C542" s="372" t="s">
        <v>5</v>
      </c>
      <c r="D542" s="372" t="s">
        <v>198</v>
      </c>
      <c r="E542" s="372" t="s">
        <v>344</v>
      </c>
      <c r="F542" s="373"/>
      <c r="G542" s="197">
        <v>10499.5002</v>
      </c>
      <c r="H542" s="197">
        <v>10462.026</v>
      </c>
      <c r="I542" s="197">
        <v>10462.026</v>
      </c>
    </row>
    <row r="543" spans="1:9" ht="47.25">
      <c r="A543" s="372" t="s">
        <v>880</v>
      </c>
      <c r="B543" s="372" t="s">
        <v>58</v>
      </c>
      <c r="C543" s="372" t="s">
        <v>5</v>
      </c>
      <c r="D543" s="372" t="s">
        <v>198</v>
      </c>
      <c r="E543" s="372" t="s">
        <v>990</v>
      </c>
      <c r="F543" s="373"/>
      <c r="G543" s="197">
        <v>1030</v>
      </c>
      <c r="H543" s="197">
        <v>1030</v>
      </c>
      <c r="I543" s="197">
        <v>1030</v>
      </c>
    </row>
    <row r="544" spans="1:9" ht="63">
      <c r="A544" s="372" t="s">
        <v>755</v>
      </c>
      <c r="B544" s="372" t="s">
        <v>58</v>
      </c>
      <c r="C544" s="372" t="s">
        <v>5</v>
      </c>
      <c r="D544" s="372" t="s">
        <v>198</v>
      </c>
      <c r="E544" s="372" t="s">
        <v>990</v>
      </c>
      <c r="F544" s="372" t="s">
        <v>268</v>
      </c>
      <c r="G544" s="197">
        <v>1030</v>
      </c>
      <c r="H544" s="197">
        <v>1030</v>
      </c>
      <c r="I544" s="197">
        <v>1030</v>
      </c>
    </row>
    <row r="545" spans="1:9" ht="47.25">
      <c r="A545" s="372" t="s">
        <v>1207</v>
      </c>
      <c r="B545" s="372" t="s">
        <v>58</v>
      </c>
      <c r="C545" s="372" t="s">
        <v>5</v>
      </c>
      <c r="D545" s="372" t="s">
        <v>198</v>
      </c>
      <c r="E545" s="372" t="s">
        <v>1200</v>
      </c>
      <c r="F545" s="373"/>
      <c r="G545" s="197">
        <v>30</v>
      </c>
      <c r="H545" s="197">
        <v>0</v>
      </c>
      <c r="I545" s="197">
        <v>0</v>
      </c>
    </row>
    <row r="546" spans="1:9" ht="63">
      <c r="A546" s="372" t="s">
        <v>755</v>
      </c>
      <c r="B546" s="372" t="s">
        <v>58</v>
      </c>
      <c r="C546" s="372" t="s">
        <v>5</v>
      </c>
      <c r="D546" s="372" t="s">
        <v>198</v>
      </c>
      <c r="E546" s="372" t="s">
        <v>1200</v>
      </c>
      <c r="F546" s="372" t="s">
        <v>268</v>
      </c>
      <c r="G546" s="197">
        <v>30</v>
      </c>
      <c r="H546" s="197">
        <v>0</v>
      </c>
      <c r="I546" s="197">
        <v>0</v>
      </c>
    </row>
    <row r="547" spans="1:9" ht="47.25">
      <c r="A547" s="372" t="s">
        <v>1139</v>
      </c>
      <c r="B547" s="372" t="s">
        <v>58</v>
      </c>
      <c r="C547" s="372" t="s">
        <v>5</v>
      </c>
      <c r="D547" s="372" t="s">
        <v>198</v>
      </c>
      <c r="E547" s="372" t="s">
        <v>885</v>
      </c>
      <c r="F547" s="373"/>
      <c r="G547" s="197">
        <v>9439.5002000000004</v>
      </c>
      <c r="H547" s="197">
        <v>9432.0259999999998</v>
      </c>
      <c r="I547" s="197">
        <v>9432.0259999999998</v>
      </c>
    </row>
    <row r="548" spans="1:9" ht="63">
      <c r="A548" s="372" t="s">
        <v>755</v>
      </c>
      <c r="B548" s="372" t="s">
        <v>58</v>
      </c>
      <c r="C548" s="372" t="s">
        <v>5</v>
      </c>
      <c r="D548" s="372" t="s">
        <v>198</v>
      </c>
      <c r="E548" s="372" t="s">
        <v>885</v>
      </c>
      <c r="F548" s="372" t="s">
        <v>268</v>
      </c>
      <c r="G548" s="197">
        <v>9439.5002000000004</v>
      </c>
      <c r="H548" s="197">
        <v>9432.0259999999998</v>
      </c>
      <c r="I548" s="197">
        <v>9432.0259999999998</v>
      </c>
    </row>
    <row r="549" spans="1:9" ht="110.25">
      <c r="A549" s="372" t="s">
        <v>1155</v>
      </c>
      <c r="B549" s="372" t="s">
        <v>58</v>
      </c>
      <c r="C549" s="372" t="s">
        <v>5</v>
      </c>
      <c r="D549" s="372" t="s">
        <v>198</v>
      </c>
      <c r="E549" s="372" t="s">
        <v>377</v>
      </c>
      <c r="F549" s="373"/>
      <c r="G549" s="197">
        <v>57.5</v>
      </c>
      <c r="H549" s="197">
        <v>0</v>
      </c>
      <c r="I549" s="197">
        <v>0</v>
      </c>
    </row>
    <row r="550" spans="1:9" ht="110.25">
      <c r="A550" s="372" t="s">
        <v>1443</v>
      </c>
      <c r="B550" s="372" t="s">
        <v>58</v>
      </c>
      <c r="C550" s="372" t="s">
        <v>5</v>
      </c>
      <c r="D550" s="372" t="s">
        <v>198</v>
      </c>
      <c r="E550" s="372" t="s">
        <v>377</v>
      </c>
      <c r="F550" s="373"/>
      <c r="G550" s="197">
        <v>57.5</v>
      </c>
      <c r="H550" s="197">
        <v>0</v>
      </c>
      <c r="I550" s="197">
        <v>0</v>
      </c>
    </row>
    <row r="551" spans="1:9" ht="63">
      <c r="A551" s="372" t="s">
        <v>1472</v>
      </c>
      <c r="B551" s="372" t="s">
        <v>58</v>
      </c>
      <c r="C551" s="372" t="s">
        <v>5</v>
      </c>
      <c r="D551" s="372" t="s">
        <v>198</v>
      </c>
      <c r="E551" s="372" t="s">
        <v>1361</v>
      </c>
      <c r="F551" s="373"/>
      <c r="G551" s="197">
        <v>57.5</v>
      </c>
      <c r="H551" s="197">
        <v>0</v>
      </c>
      <c r="I551" s="197">
        <v>0</v>
      </c>
    </row>
    <row r="552" spans="1:9" ht="47.25">
      <c r="A552" s="372" t="s">
        <v>1373</v>
      </c>
      <c r="B552" s="372" t="s">
        <v>58</v>
      </c>
      <c r="C552" s="372" t="s">
        <v>5</v>
      </c>
      <c r="D552" s="372" t="s">
        <v>198</v>
      </c>
      <c r="E552" s="372" t="s">
        <v>1363</v>
      </c>
      <c r="F552" s="373"/>
      <c r="G552" s="197">
        <v>57.5</v>
      </c>
      <c r="H552" s="197">
        <v>0</v>
      </c>
      <c r="I552" s="197">
        <v>0</v>
      </c>
    </row>
    <row r="553" spans="1:9" ht="63">
      <c r="A553" s="372" t="s">
        <v>755</v>
      </c>
      <c r="B553" s="372" t="s">
        <v>58</v>
      </c>
      <c r="C553" s="372" t="s">
        <v>5</v>
      </c>
      <c r="D553" s="372" t="s">
        <v>198</v>
      </c>
      <c r="E553" s="372" t="s">
        <v>1363</v>
      </c>
      <c r="F553" s="372" t="s">
        <v>268</v>
      </c>
      <c r="G553" s="197">
        <v>57.5</v>
      </c>
      <c r="H553" s="197">
        <v>0</v>
      </c>
      <c r="I553" s="197">
        <v>0</v>
      </c>
    </row>
    <row r="554" spans="1:9" ht="47.25">
      <c r="A554" s="372" t="s">
        <v>1273</v>
      </c>
      <c r="B554" s="372" t="s">
        <v>58</v>
      </c>
      <c r="C554" s="372" t="s">
        <v>5</v>
      </c>
      <c r="D554" s="372" t="s">
        <v>198</v>
      </c>
      <c r="E554" s="372" t="s">
        <v>1266</v>
      </c>
      <c r="F554" s="373"/>
      <c r="G554" s="197">
        <v>315.78946999999999</v>
      </c>
      <c r="H554" s="197">
        <v>0</v>
      </c>
      <c r="I554" s="197">
        <v>0</v>
      </c>
    </row>
    <row r="555" spans="1:9" ht="31.5">
      <c r="A555" s="372" t="s">
        <v>509</v>
      </c>
      <c r="B555" s="372" t="s">
        <v>58</v>
      </c>
      <c r="C555" s="372" t="s">
        <v>5</v>
      </c>
      <c r="D555" s="372" t="s">
        <v>198</v>
      </c>
      <c r="E555" s="372" t="s">
        <v>1267</v>
      </c>
      <c r="F555" s="373"/>
      <c r="G555" s="197">
        <v>315.78946999999999</v>
      </c>
      <c r="H555" s="197">
        <v>0</v>
      </c>
      <c r="I555" s="197">
        <v>0</v>
      </c>
    </row>
    <row r="556" spans="1:9" ht="31.5">
      <c r="A556" s="372" t="s">
        <v>1441</v>
      </c>
      <c r="B556" s="372" t="s">
        <v>58</v>
      </c>
      <c r="C556" s="372" t="s">
        <v>5</v>
      </c>
      <c r="D556" s="372" t="s">
        <v>198</v>
      </c>
      <c r="E556" s="372" t="s">
        <v>1267</v>
      </c>
      <c r="F556" s="373"/>
      <c r="G556" s="197">
        <v>315.78946999999999</v>
      </c>
      <c r="H556" s="197">
        <v>0</v>
      </c>
      <c r="I556" s="197">
        <v>0</v>
      </c>
    </row>
    <row r="557" spans="1:9" ht="94.5">
      <c r="A557" s="372" t="s">
        <v>1352</v>
      </c>
      <c r="B557" s="372" t="s">
        <v>58</v>
      </c>
      <c r="C557" s="372" t="s">
        <v>5</v>
      </c>
      <c r="D557" s="372" t="s">
        <v>198</v>
      </c>
      <c r="E557" s="372" t="s">
        <v>1350</v>
      </c>
      <c r="F557" s="373"/>
      <c r="G557" s="197">
        <v>315.78946999999999</v>
      </c>
      <c r="H557" s="197">
        <v>0</v>
      </c>
      <c r="I557" s="197">
        <v>0</v>
      </c>
    </row>
    <row r="558" spans="1:9" ht="63">
      <c r="A558" s="372" t="s">
        <v>755</v>
      </c>
      <c r="B558" s="372" t="s">
        <v>58</v>
      </c>
      <c r="C558" s="372" t="s">
        <v>5</v>
      </c>
      <c r="D558" s="372" t="s">
        <v>198</v>
      </c>
      <c r="E558" s="372" t="s">
        <v>1350</v>
      </c>
      <c r="F558" s="372" t="s">
        <v>268</v>
      </c>
      <c r="G558" s="197">
        <v>315.78946999999999</v>
      </c>
      <c r="H558" s="197">
        <v>0</v>
      </c>
      <c r="I558" s="197">
        <v>0</v>
      </c>
    </row>
    <row r="559" spans="1:9" ht="63">
      <c r="A559" s="372" t="s">
        <v>524</v>
      </c>
      <c r="B559" s="372" t="s">
        <v>58</v>
      </c>
      <c r="C559" s="372" t="s">
        <v>5</v>
      </c>
      <c r="D559" s="372" t="s">
        <v>198</v>
      </c>
      <c r="E559" s="372" t="s">
        <v>444</v>
      </c>
      <c r="F559" s="373"/>
      <c r="G559" s="197">
        <v>3</v>
      </c>
      <c r="H559" s="197">
        <v>0</v>
      </c>
      <c r="I559" s="197">
        <v>0</v>
      </c>
    </row>
    <row r="560" spans="1:9" ht="31.5">
      <c r="A560" s="372" t="s">
        <v>509</v>
      </c>
      <c r="B560" s="372" t="s">
        <v>58</v>
      </c>
      <c r="C560" s="372" t="s">
        <v>5</v>
      </c>
      <c r="D560" s="372" t="s">
        <v>198</v>
      </c>
      <c r="E560" s="372" t="s">
        <v>445</v>
      </c>
      <c r="F560" s="373"/>
      <c r="G560" s="197">
        <v>3</v>
      </c>
      <c r="H560" s="197">
        <v>0</v>
      </c>
      <c r="I560" s="197">
        <v>0</v>
      </c>
    </row>
    <row r="561" spans="1:9" ht="31.5">
      <c r="A561" s="372" t="s">
        <v>1441</v>
      </c>
      <c r="B561" s="372" t="s">
        <v>58</v>
      </c>
      <c r="C561" s="372" t="s">
        <v>5</v>
      </c>
      <c r="D561" s="372" t="s">
        <v>198</v>
      </c>
      <c r="E561" s="372" t="s">
        <v>445</v>
      </c>
      <c r="F561" s="373"/>
      <c r="G561" s="197">
        <v>3</v>
      </c>
      <c r="H561" s="197">
        <v>0</v>
      </c>
      <c r="I561" s="197">
        <v>0</v>
      </c>
    </row>
    <row r="562" spans="1:9" ht="47.25">
      <c r="A562" s="372" t="s">
        <v>1272</v>
      </c>
      <c r="B562" s="372" t="s">
        <v>58</v>
      </c>
      <c r="C562" s="372" t="s">
        <v>5</v>
      </c>
      <c r="D562" s="372" t="s">
        <v>198</v>
      </c>
      <c r="E562" s="372" t="s">
        <v>1271</v>
      </c>
      <c r="F562" s="373"/>
      <c r="G562" s="197">
        <v>3</v>
      </c>
      <c r="H562" s="197">
        <v>0</v>
      </c>
      <c r="I562" s="197">
        <v>0</v>
      </c>
    </row>
    <row r="563" spans="1:9" ht="63">
      <c r="A563" s="372" t="s">
        <v>755</v>
      </c>
      <c r="B563" s="372" t="s">
        <v>58</v>
      </c>
      <c r="C563" s="372" t="s">
        <v>5</v>
      </c>
      <c r="D563" s="372" t="s">
        <v>198</v>
      </c>
      <c r="E563" s="372" t="s">
        <v>1271</v>
      </c>
      <c r="F563" s="372" t="s">
        <v>268</v>
      </c>
      <c r="G563" s="197">
        <v>3</v>
      </c>
      <c r="H563" s="197">
        <v>0</v>
      </c>
      <c r="I563" s="197">
        <v>0</v>
      </c>
    </row>
    <row r="564" spans="1:9" ht="31.5">
      <c r="A564" s="372" t="s">
        <v>519</v>
      </c>
      <c r="B564" s="372" t="s">
        <v>58</v>
      </c>
      <c r="C564" s="372" t="s">
        <v>5</v>
      </c>
      <c r="D564" s="372" t="s">
        <v>4</v>
      </c>
      <c r="E564" s="373"/>
      <c r="F564" s="373"/>
      <c r="G564" s="197">
        <v>2877.3925399999998</v>
      </c>
      <c r="H564" s="197">
        <v>2861.1239999999998</v>
      </c>
      <c r="I564" s="197">
        <v>2861.1239999999998</v>
      </c>
    </row>
    <row r="565" spans="1:9" ht="78.75">
      <c r="A565" s="372" t="s">
        <v>518</v>
      </c>
      <c r="B565" s="372" t="s">
        <v>58</v>
      </c>
      <c r="C565" s="372" t="s">
        <v>5</v>
      </c>
      <c r="D565" s="372" t="s">
        <v>4</v>
      </c>
      <c r="E565" s="372" t="s">
        <v>340</v>
      </c>
      <c r="F565" s="373"/>
      <c r="G565" s="197">
        <v>2868.1239999999998</v>
      </c>
      <c r="H565" s="197">
        <v>2861.1239999999998</v>
      </c>
      <c r="I565" s="197">
        <v>2861.1239999999998</v>
      </c>
    </row>
    <row r="566" spans="1:9" ht="78.75">
      <c r="A566" s="372" t="s">
        <v>1112</v>
      </c>
      <c r="B566" s="372" t="s">
        <v>58</v>
      </c>
      <c r="C566" s="372" t="s">
        <v>5</v>
      </c>
      <c r="D566" s="372" t="s">
        <v>4</v>
      </c>
      <c r="E566" s="372" t="s">
        <v>992</v>
      </c>
      <c r="F566" s="373"/>
      <c r="G566" s="197">
        <v>2868.1239999999998</v>
      </c>
      <c r="H566" s="197">
        <v>2861.1239999999998</v>
      </c>
      <c r="I566" s="197">
        <v>2861.1239999999998</v>
      </c>
    </row>
    <row r="567" spans="1:9" ht="94.5">
      <c r="A567" s="372" t="s">
        <v>1113</v>
      </c>
      <c r="B567" s="372" t="s">
        <v>58</v>
      </c>
      <c r="C567" s="372" t="s">
        <v>5</v>
      </c>
      <c r="D567" s="372" t="s">
        <v>4</v>
      </c>
      <c r="E567" s="372" t="s">
        <v>993</v>
      </c>
      <c r="F567" s="373"/>
      <c r="G567" s="197">
        <v>2868.1239999999998</v>
      </c>
      <c r="H567" s="197">
        <v>2861.1239999999998</v>
      </c>
      <c r="I567" s="197">
        <v>2861.1239999999998</v>
      </c>
    </row>
    <row r="568" spans="1:9" ht="63">
      <c r="A568" s="372" t="s">
        <v>1114</v>
      </c>
      <c r="B568" s="372" t="s">
        <v>58</v>
      </c>
      <c r="C568" s="372" t="s">
        <v>5</v>
      </c>
      <c r="D568" s="372" t="s">
        <v>4</v>
      </c>
      <c r="E568" s="372" t="s">
        <v>994</v>
      </c>
      <c r="F568" s="373"/>
      <c r="G568" s="197">
        <v>2851.1239999999998</v>
      </c>
      <c r="H568" s="197">
        <v>2844.1239999999998</v>
      </c>
      <c r="I568" s="197">
        <v>2844.1239999999998</v>
      </c>
    </row>
    <row r="569" spans="1:9" ht="141.75">
      <c r="A569" s="372" t="s">
        <v>771</v>
      </c>
      <c r="B569" s="372" t="s">
        <v>58</v>
      </c>
      <c r="C569" s="372" t="s">
        <v>5</v>
      </c>
      <c r="D569" s="372" t="s">
        <v>4</v>
      </c>
      <c r="E569" s="372" t="s">
        <v>994</v>
      </c>
      <c r="F569" s="372" t="s">
        <v>265</v>
      </c>
      <c r="G569" s="197">
        <v>2368.3470000000002</v>
      </c>
      <c r="H569" s="197">
        <v>2368.3470000000002</v>
      </c>
      <c r="I569" s="197">
        <v>2368.3470000000002</v>
      </c>
    </row>
    <row r="570" spans="1:9" ht="63">
      <c r="A570" s="372" t="s">
        <v>758</v>
      </c>
      <c r="B570" s="372" t="s">
        <v>58</v>
      </c>
      <c r="C570" s="372" t="s">
        <v>5</v>
      </c>
      <c r="D570" s="372" t="s">
        <v>4</v>
      </c>
      <c r="E570" s="372" t="s">
        <v>994</v>
      </c>
      <c r="F570" s="372" t="s">
        <v>266</v>
      </c>
      <c r="G570" s="197">
        <v>480.27699999999999</v>
      </c>
      <c r="H570" s="197">
        <v>473.27699999999999</v>
      </c>
      <c r="I570" s="197">
        <v>473.27699999999999</v>
      </c>
    </row>
    <row r="571" spans="1:9" ht="31.5">
      <c r="A571" s="372" t="s">
        <v>772</v>
      </c>
      <c r="B571" s="372" t="s">
        <v>58</v>
      </c>
      <c r="C571" s="372" t="s">
        <v>5</v>
      </c>
      <c r="D571" s="372" t="s">
        <v>4</v>
      </c>
      <c r="E571" s="372" t="s">
        <v>994</v>
      </c>
      <c r="F571" s="372" t="s">
        <v>267</v>
      </c>
      <c r="G571" s="197">
        <v>2.5</v>
      </c>
      <c r="H571" s="197">
        <v>2.5</v>
      </c>
      <c r="I571" s="197">
        <v>2.5</v>
      </c>
    </row>
    <row r="572" spans="1:9" ht="110.25">
      <c r="A572" s="372" t="s">
        <v>1115</v>
      </c>
      <c r="B572" s="372" t="s">
        <v>58</v>
      </c>
      <c r="C572" s="372" t="s">
        <v>5</v>
      </c>
      <c r="D572" s="372" t="s">
        <v>4</v>
      </c>
      <c r="E572" s="372" t="s">
        <v>995</v>
      </c>
      <c r="F572" s="373"/>
      <c r="G572" s="197">
        <v>17</v>
      </c>
      <c r="H572" s="197">
        <v>17</v>
      </c>
      <c r="I572" s="197">
        <v>17</v>
      </c>
    </row>
    <row r="573" spans="1:9" ht="63">
      <c r="A573" s="372" t="s">
        <v>758</v>
      </c>
      <c r="B573" s="372" t="s">
        <v>58</v>
      </c>
      <c r="C573" s="372" t="s">
        <v>5</v>
      </c>
      <c r="D573" s="372" t="s">
        <v>4</v>
      </c>
      <c r="E573" s="372" t="s">
        <v>995</v>
      </c>
      <c r="F573" s="372" t="s">
        <v>266</v>
      </c>
      <c r="G573" s="197">
        <v>17</v>
      </c>
      <c r="H573" s="197">
        <v>17</v>
      </c>
      <c r="I573" s="197">
        <v>17</v>
      </c>
    </row>
    <row r="574" spans="1:9" ht="63">
      <c r="A574" s="372" t="s">
        <v>523</v>
      </c>
      <c r="B574" s="372" t="s">
        <v>58</v>
      </c>
      <c r="C574" s="372" t="s">
        <v>5</v>
      </c>
      <c r="D574" s="372" t="s">
        <v>4</v>
      </c>
      <c r="E574" s="372" t="s">
        <v>420</v>
      </c>
      <c r="F574" s="373"/>
      <c r="G574" s="197">
        <v>8.6792400000000001</v>
      </c>
      <c r="H574" s="197">
        <v>0</v>
      </c>
      <c r="I574" s="197">
        <v>0</v>
      </c>
    </row>
    <row r="575" spans="1:9" ht="31.5">
      <c r="A575" s="372" t="s">
        <v>509</v>
      </c>
      <c r="B575" s="372" t="s">
        <v>58</v>
      </c>
      <c r="C575" s="372" t="s">
        <v>5</v>
      </c>
      <c r="D575" s="372" t="s">
        <v>4</v>
      </c>
      <c r="E575" s="372" t="s">
        <v>421</v>
      </c>
      <c r="F575" s="373"/>
      <c r="G575" s="197">
        <v>8.6792400000000001</v>
      </c>
      <c r="H575" s="197">
        <v>0</v>
      </c>
      <c r="I575" s="197">
        <v>0</v>
      </c>
    </row>
    <row r="576" spans="1:9" ht="31.5">
      <c r="A576" s="372" t="s">
        <v>1441</v>
      </c>
      <c r="B576" s="372" t="s">
        <v>58</v>
      </c>
      <c r="C576" s="372" t="s">
        <v>5</v>
      </c>
      <c r="D576" s="372" t="s">
        <v>4</v>
      </c>
      <c r="E576" s="372" t="s">
        <v>421</v>
      </c>
      <c r="F576" s="373"/>
      <c r="G576" s="197">
        <v>8.6792400000000001</v>
      </c>
      <c r="H576" s="197">
        <v>0</v>
      </c>
      <c r="I576" s="197">
        <v>0</v>
      </c>
    </row>
    <row r="577" spans="1:9" ht="204.75">
      <c r="A577" s="372" t="s">
        <v>1184</v>
      </c>
      <c r="B577" s="372" t="s">
        <v>58</v>
      </c>
      <c r="C577" s="372" t="s">
        <v>5</v>
      </c>
      <c r="D577" s="372" t="s">
        <v>4</v>
      </c>
      <c r="E577" s="372" t="s">
        <v>1178</v>
      </c>
      <c r="F577" s="373"/>
      <c r="G577" s="197">
        <v>8.6792400000000001</v>
      </c>
      <c r="H577" s="197">
        <v>0</v>
      </c>
      <c r="I577" s="197">
        <v>0</v>
      </c>
    </row>
    <row r="578" spans="1:9" ht="31.5">
      <c r="A578" s="372" t="s">
        <v>772</v>
      </c>
      <c r="B578" s="372" t="s">
        <v>58</v>
      </c>
      <c r="C578" s="372" t="s">
        <v>5</v>
      </c>
      <c r="D578" s="372" t="s">
        <v>4</v>
      </c>
      <c r="E578" s="372" t="s">
        <v>1178</v>
      </c>
      <c r="F578" s="372" t="s">
        <v>267</v>
      </c>
      <c r="G578" s="197">
        <v>8.6792400000000001</v>
      </c>
      <c r="H578" s="197">
        <v>0</v>
      </c>
      <c r="I578" s="197">
        <v>0</v>
      </c>
    </row>
    <row r="579" spans="1:9" ht="63">
      <c r="A579" s="372" t="s">
        <v>524</v>
      </c>
      <c r="B579" s="372" t="s">
        <v>58</v>
      </c>
      <c r="C579" s="372" t="s">
        <v>5</v>
      </c>
      <c r="D579" s="372" t="s">
        <v>4</v>
      </c>
      <c r="E579" s="372" t="s">
        <v>444</v>
      </c>
      <c r="F579" s="373"/>
      <c r="G579" s="197">
        <v>0.58930000000000005</v>
      </c>
      <c r="H579" s="197">
        <v>0</v>
      </c>
      <c r="I579" s="197">
        <v>0</v>
      </c>
    </row>
    <row r="580" spans="1:9" ht="31.5">
      <c r="A580" s="372" t="s">
        <v>509</v>
      </c>
      <c r="B580" s="372" t="s">
        <v>58</v>
      </c>
      <c r="C580" s="372" t="s">
        <v>5</v>
      </c>
      <c r="D580" s="372" t="s">
        <v>4</v>
      </c>
      <c r="E580" s="372" t="s">
        <v>445</v>
      </c>
      <c r="F580" s="373"/>
      <c r="G580" s="197">
        <v>0.58930000000000005</v>
      </c>
      <c r="H580" s="197">
        <v>0</v>
      </c>
      <c r="I580" s="197">
        <v>0</v>
      </c>
    </row>
    <row r="581" spans="1:9" ht="31.5">
      <c r="A581" s="372" t="s">
        <v>1441</v>
      </c>
      <c r="B581" s="372" t="s">
        <v>58</v>
      </c>
      <c r="C581" s="372" t="s">
        <v>5</v>
      </c>
      <c r="D581" s="372" t="s">
        <v>4</v>
      </c>
      <c r="E581" s="372" t="s">
        <v>445</v>
      </c>
      <c r="F581" s="373"/>
      <c r="G581" s="197">
        <v>0.58930000000000005</v>
      </c>
      <c r="H581" s="197">
        <v>0</v>
      </c>
      <c r="I581" s="197">
        <v>0</v>
      </c>
    </row>
    <row r="582" spans="1:9" ht="126">
      <c r="A582" s="372" t="s">
        <v>1232</v>
      </c>
      <c r="B582" s="372" t="s">
        <v>58</v>
      </c>
      <c r="C582" s="372" t="s">
        <v>5</v>
      </c>
      <c r="D582" s="372" t="s">
        <v>4</v>
      </c>
      <c r="E582" s="372" t="s">
        <v>1230</v>
      </c>
      <c r="F582" s="373"/>
      <c r="G582" s="197">
        <v>0.58930000000000005</v>
      </c>
      <c r="H582" s="197">
        <v>0</v>
      </c>
      <c r="I582" s="197">
        <v>0</v>
      </c>
    </row>
    <row r="583" spans="1:9" ht="63">
      <c r="A583" s="372" t="s">
        <v>758</v>
      </c>
      <c r="B583" s="372" t="s">
        <v>58</v>
      </c>
      <c r="C583" s="372" t="s">
        <v>5</v>
      </c>
      <c r="D583" s="372" t="s">
        <v>4</v>
      </c>
      <c r="E583" s="372" t="s">
        <v>1230</v>
      </c>
      <c r="F583" s="372" t="s">
        <v>266</v>
      </c>
      <c r="G583" s="197">
        <v>0.58930000000000005</v>
      </c>
      <c r="H583" s="197">
        <v>0</v>
      </c>
      <c r="I583" s="197">
        <v>0</v>
      </c>
    </row>
    <row r="584" spans="1:9" ht="31.5">
      <c r="A584" s="372" t="s">
        <v>29</v>
      </c>
      <c r="B584" s="372" t="s">
        <v>60</v>
      </c>
      <c r="C584" s="373"/>
      <c r="D584" s="373"/>
      <c r="E584" s="373"/>
      <c r="F584" s="373"/>
      <c r="G584" s="197">
        <v>150257.29173</v>
      </c>
      <c r="H584" s="197">
        <v>94504.271259999994</v>
      </c>
      <c r="I584" s="197">
        <v>88094.820999999996</v>
      </c>
    </row>
    <row r="585" spans="1:9" ht="31.5">
      <c r="A585" s="372" t="s">
        <v>468</v>
      </c>
      <c r="B585" s="372" t="s">
        <v>60</v>
      </c>
      <c r="C585" s="372" t="s">
        <v>200</v>
      </c>
      <c r="D585" s="373"/>
      <c r="E585" s="373"/>
      <c r="F585" s="373"/>
      <c r="G585" s="197">
        <v>44720.256220000003</v>
      </c>
      <c r="H585" s="197">
        <v>41947.959000000003</v>
      </c>
      <c r="I585" s="197">
        <v>41948.834000000003</v>
      </c>
    </row>
    <row r="586" spans="1:9" ht="63">
      <c r="A586" s="372" t="s">
        <v>520</v>
      </c>
      <c r="B586" s="372" t="s">
        <v>60</v>
      </c>
      <c r="C586" s="372" t="s">
        <v>200</v>
      </c>
      <c r="D586" s="372" t="s">
        <v>198</v>
      </c>
      <c r="E586" s="373"/>
      <c r="F586" s="373"/>
      <c r="G586" s="197">
        <v>1379.943</v>
      </c>
      <c r="H586" s="197">
        <v>1379.943</v>
      </c>
      <c r="I586" s="197">
        <v>1379.943</v>
      </c>
    </row>
    <row r="587" spans="1:9" ht="78.75">
      <c r="A587" s="372" t="s">
        <v>484</v>
      </c>
      <c r="B587" s="372" t="s">
        <v>60</v>
      </c>
      <c r="C587" s="372" t="s">
        <v>200</v>
      </c>
      <c r="D587" s="372" t="s">
        <v>198</v>
      </c>
      <c r="E587" s="372" t="s">
        <v>396</v>
      </c>
      <c r="F587" s="373"/>
      <c r="G587" s="197">
        <v>1379.943</v>
      </c>
      <c r="H587" s="197">
        <v>1379.943</v>
      </c>
      <c r="I587" s="197">
        <v>1379.943</v>
      </c>
    </row>
    <row r="588" spans="1:9" ht="63">
      <c r="A588" s="372" t="s">
        <v>1124</v>
      </c>
      <c r="B588" s="372" t="s">
        <v>60</v>
      </c>
      <c r="C588" s="372" t="s">
        <v>200</v>
      </c>
      <c r="D588" s="372" t="s">
        <v>198</v>
      </c>
      <c r="E588" s="372" t="s">
        <v>397</v>
      </c>
      <c r="F588" s="373"/>
      <c r="G588" s="197">
        <v>1379.943</v>
      </c>
      <c r="H588" s="197">
        <v>1379.943</v>
      </c>
      <c r="I588" s="197">
        <v>1379.943</v>
      </c>
    </row>
    <row r="589" spans="1:9" ht="94.5">
      <c r="A589" s="372" t="s">
        <v>1113</v>
      </c>
      <c r="B589" s="372" t="s">
        <v>60</v>
      </c>
      <c r="C589" s="372" t="s">
        <v>200</v>
      </c>
      <c r="D589" s="372" t="s">
        <v>198</v>
      </c>
      <c r="E589" s="372" t="s">
        <v>398</v>
      </c>
      <c r="F589" s="373"/>
      <c r="G589" s="197">
        <v>1379.943</v>
      </c>
      <c r="H589" s="197">
        <v>1379.943</v>
      </c>
      <c r="I589" s="197">
        <v>1379.943</v>
      </c>
    </row>
    <row r="590" spans="1:9" ht="31.5">
      <c r="A590" s="372" t="s">
        <v>815</v>
      </c>
      <c r="B590" s="372" t="s">
        <v>60</v>
      </c>
      <c r="C590" s="372" t="s">
        <v>200</v>
      </c>
      <c r="D590" s="372" t="s">
        <v>198</v>
      </c>
      <c r="E590" s="372" t="s">
        <v>399</v>
      </c>
      <c r="F590" s="373"/>
      <c r="G590" s="197">
        <v>1379.943</v>
      </c>
      <c r="H590" s="197">
        <v>1379.943</v>
      </c>
      <c r="I590" s="197">
        <v>1379.943</v>
      </c>
    </row>
    <row r="591" spans="1:9" ht="141.75">
      <c r="A591" s="372" t="s">
        <v>771</v>
      </c>
      <c r="B591" s="372" t="s">
        <v>60</v>
      </c>
      <c r="C591" s="372" t="s">
        <v>200</v>
      </c>
      <c r="D591" s="372" t="s">
        <v>198</v>
      </c>
      <c r="E591" s="372" t="s">
        <v>399</v>
      </c>
      <c r="F591" s="372" t="s">
        <v>265</v>
      </c>
      <c r="G591" s="197">
        <v>1379.943</v>
      </c>
      <c r="H591" s="197">
        <v>1379.943</v>
      </c>
      <c r="I591" s="197">
        <v>1379.943</v>
      </c>
    </row>
    <row r="592" spans="1:9" ht="110.25">
      <c r="A592" s="372" t="s">
        <v>521</v>
      </c>
      <c r="B592" s="372" t="s">
        <v>60</v>
      </c>
      <c r="C592" s="372" t="s">
        <v>200</v>
      </c>
      <c r="D592" s="372" t="s">
        <v>195</v>
      </c>
      <c r="E592" s="373"/>
      <c r="F592" s="373"/>
      <c r="G592" s="197">
        <v>41521.493799999997</v>
      </c>
      <c r="H592" s="197">
        <v>39919.949999999997</v>
      </c>
      <c r="I592" s="197">
        <v>39919.949999999997</v>
      </c>
    </row>
    <row r="593" spans="1:9" ht="78.75">
      <c r="A593" s="372" t="s">
        <v>484</v>
      </c>
      <c r="B593" s="372" t="s">
        <v>60</v>
      </c>
      <c r="C593" s="372" t="s">
        <v>200</v>
      </c>
      <c r="D593" s="372" t="s">
        <v>195</v>
      </c>
      <c r="E593" s="372" t="s">
        <v>396</v>
      </c>
      <c r="F593" s="373"/>
      <c r="G593" s="197">
        <v>41521.493799999997</v>
      </c>
      <c r="H593" s="197">
        <v>39919.949999999997</v>
      </c>
      <c r="I593" s="197">
        <v>39919.949999999997</v>
      </c>
    </row>
    <row r="594" spans="1:9" ht="63">
      <c r="A594" s="372" t="s">
        <v>1124</v>
      </c>
      <c r="B594" s="372" t="s">
        <v>60</v>
      </c>
      <c r="C594" s="372" t="s">
        <v>200</v>
      </c>
      <c r="D594" s="372" t="s">
        <v>195</v>
      </c>
      <c r="E594" s="372" t="s">
        <v>397</v>
      </c>
      <c r="F594" s="373"/>
      <c r="G594" s="197">
        <v>41521.493799999997</v>
      </c>
      <c r="H594" s="197">
        <v>39919.949999999997</v>
      </c>
      <c r="I594" s="197">
        <v>39919.949999999997</v>
      </c>
    </row>
    <row r="595" spans="1:9" ht="94.5">
      <c r="A595" s="372" t="s">
        <v>1113</v>
      </c>
      <c r="B595" s="372" t="s">
        <v>60</v>
      </c>
      <c r="C595" s="372" t="s">
        <v>200</v>
      </c>
      <c r="D595" s="372" t="s">
        <v>195</v>
      </c>
      <c r="E595" s="372" t="s">
        <v>398</v>
      </c>
      <c r="F595" s="373"/>
      <c r="G595" s="197">
        <v>39825.628799999999</v>
      </c>
      <c r="H595" s="197">
        <v>38279.021000000001</v>
      </c>
      <c r="I595" s="197">
        <v>38279.021000000001</v>
      </c>
    </row>
    <row r="596" spans="1:9" ht="63">
      <c r="A596" s="372" t="s">
        <v>1114</v>
      </c>
      <c r="B596" s="372" t="s">
        <v>60</v>
      </c>
      <c r="C596" s="372" t="s">
        <v>200</v>
      </c>
      <c r="D596" s="372" t="s">
        <v>195</v>
      </c>
      <c r="E596" s="372" t="s">
        <v>400</v>
      </c>
      <c r="F596" s="373"/>
      <c r="G596" s="197">
        <v>39825.628799999999</v>
      </c>
      <c r="H596" s="197">
        <v>38279.021000000001</v>
      </c>
      <c r="I596" s="197">
        <v>38279.021000000001</v>
      </c>
    </row>
    <row r="597" spans="1:9" ht="141.75">
      <c r="A597" s="372" t="s">
        <v>771</v>
      </c>
      <c r="B597" s="372" t="s">
        <v>60</v>
      </c>
      <c r="C597" s="372" t="s">
        <v>200</v>
      </c>
      <c r="D597" s="372" t="s">
        <v>195</v>
      </c>
      <c r="E597" s="372" t="s">
        <v>400</v>
      </c>
      <c r="F597" s="372" t="s">
        <v>265</v>
      </c>
      <c r="G597" s="197">
        <v>30826.705999999998</v>
      </c>
      <c r="H597" s="197">
        <v>30800.2</v>
      </c>
      <c r="I597" s="197">
        <v>30800.2</v>
      </c>
    </row>
    <row r="598" spans="1:9" ht="63">
      <c r="A598" s="372" t="s">
        <v>758</v>
      </c>
      <c r="B598" s="372" t="s">
        <v>60</v>
      </c>
      <c r="C598" s="372" t="s">
        <v>200</v>
      </c>
      <c r="D598" s="372" t="s">
        <v>195</v>
      </c>
      <c r="E598" s="372" t="s">
        <v>400</v>
      </c>
      <c r="F598" s="372" t="s">
        <v>266</v>
      </c>
      <c r="G598" s="197">
        <v>8691.0468000000001</v>
      </c>
      <c r="H598" s="197">
        <v>7251.1210000000001</v>
      </c>
      <c r="I598" s="197">
        <v>7251.1210000000001</v>
      </c>
    </row>
    <row r="599" spans="1:9" ht="31.5">
      <c r="A599" s="372" t="s">
        <v>769</v>
      </c>
      <c r="B599" s="372" t="s">
        <v>60</v>
      </c>
      <c r="C599" s="372" t="s">
        <v>200</v>
      </c>
      <c r="D599" s="372" t="s">
        <v>195</v>
      </c>
      <c r="E599" s="372" t="s">
        <v>400</v>
      </c>
      <c r="F599" s="372" t="s">
        <v>271</v>
      </c>
      <c r="G599" s="197">
        <v>29.175999999999998</v>
      </c>
      <c r="H599" s="197">
        <v>0</v>
      </c>
      <c r="I599" s="197">
        <v>0</v>
      </c>
    </row>
    <row r="600" spans="1:9" ht="31.5">
      <c r="A600" s="372" t="s">
        <v>772</v>
      </c>
      <c r="B600" s="372" t="s">
        <v>60</v>
      </c>
      <c r="C600" s="372" t="s">
        <v>200</v>
      </c>
      <c r="D600" s="372" t="s">
        <v>195</v>
      </c>
      <c r="E600" s="372" t="s">
        <v>400</v>
      </c>
      <c r="F600" s="372" t="s">
        <v>267</v>
      </c>
      <c r="G600" s="197">
        <v>278.7</v>
      </c>
      <c r="H600" s="197">
        <v>227.7</v>
      </c>
      <c r="I600" s="197">
        <v>227.7</v>
      </c>
    </row>
    <row r="601" spans="1:9" ht="78.75">
      <c r="A601" s="372" t="s">
        <v>1475</v>
      </c>
      <c r="B601" s="372" t="s">
        <v>60</v>
      </c>
      <c r="C601" s="372" t="s">
        <v>200</v>
      </c>
      <c r="D601" s="372" t="s">
        <v>195</v>
      </c>
      <c r="E601" s="372" t="s">
        <v>401</v>
      </c>
      <c r="F601" s="373"/>
      <c r="G601" s="197">
        <v>1475.365</v>
      </c>
      <c r="H601" s="197">
        <v>1420.4290000000001</v>
      </c>
      <c r="I601" s="197">
        <v>1420.4290000000001</v>
      </c>
    </row>
    <row r="602" spans="1:9" ht="94.5">
      <c r="A602" s="372" t="s">
        <v>817</v>
      </c>
      <c r="B602" s="372" t="s">
        <v>60</v>
      </c>
      <c r="C602" s="372" t="s">
        <v>200</v>
      </c>
      <c r="D602" s="372" t="s">
        <v>195</v>
      </c>
      <c r="E602" s="372" t="s">
        <v>403</v>
      </c>
      <c r="F602" s="373"/>
      <c r="G602" s="197">
        <v>1475.365</v>
      </c>
      <c r="H602" s="197">
        <v>1420.4290000000001</v>
      </c>
      <c r="I602" s="197">
        <v>1420.4290000000001</v>
      </c>
    </row>
    <row r="603" spans="1:9" ht="141.75">
      <c r="A603" s="372" t="s">
        <v>771</v>
      </c>
      <c r="B603" s="372" t="s">
        <v>60</v>
      </c>
      <c r="C603" s="372" t="s">
        <v>200</v>
      </c>
      <c r="D603" s="372" t="s">
        <v>195</v>
      </c>
      <c r="E603" s="372" t="s">
        <v>403</v>
      </c>
      <c r="F603" s="372" t="s">
        <v>265</v>
      </c>
      <c r="G603" s="197">
        <v>991.35799999999995</v>
      </c>
      <c r="H603" s="197">
        <v>978.7</v>
      </c>
      <c r="I603" s="197">
        <v>978.7</v>
      </c>
    </row>
    <row r="604" spans="1:9" ht="63">
      <c r="A604" s="372" t="s">
        <v>758</v>
      </c>
      <c r="B604" s="372" t="s">
        <v>60</v>
      </c>
      <c r="C604" s="372" t="s">
        <v>200</v>
      </c>
      <c r="D604" s="372" t="s">
        <v>195</v>
      </c>
      <c r="E604" s="372" t="s">
        <v>403</v>
      </c>
      <c r="F604" s="372" t="s">
        <v>266</v>
      </c>
      <c r="G604" s="197">
        <v>484.00700000000001</v>
      </c>
      <c r="H604" s="197">
        <v>441.72899999999998</v>
      </c>
      <c r="I604" s="197">
        <v>441.72899999999998</v>
      </c>
    </row>
    <row r="605" spans="1:9" ht="63">
      <c r="A605" s="372" t="s">
        <v>1140</v>
      </c>
      <c r="B605" s="372" t="s">
        <v>60</v>
      </c>
      <c r="C605" s="372" t="s">
        <v>200</v>
      </c>
      <c r="D605" s="372" t="s">
        <v>195</v>
      </c>
      <c r="E605" s="372" t="s">
        <v>1098</v>
      </c>
      <c r="F605" s="373"/>
      <c r="G605" s="197">
        <v>220.5</v>
      </c>
      <c r="H605" s="197">
        <v>220.5</v>
      </c>
      <c r="I605" s="197">
        <v>220.5</v>
      </c>
    </row>
    <row r="606" spans="1:9" ht="110.25">
      <c r="A606" s="372" t="s">
        <v>1115</v>
      </c>
      <c r="B606" s="372" t="s">
        <v>60</v>
      </c>
      <c r="C606" s="372" t="s">
        <v>200</v>
      </c>
      <c r="D606" s="372" t="s">
        <v>195</v>
      </c>
      <c r="E606" s="372" t="s">
        <v>1099</v>
      </c>
      <c r="F606" s="373"/>
      <c r="G606" s="197">
        <v>220.5</v>
      </c>
      <c r="H606" s="197">
        <v>220.5</v>
      </c>
      <c r="I606" s="197">
        <v>220.5</v>
      </c>
    </row>
    <row r="607" spans="1:9" ht="63">
      <c r="A607" s="372" t="s">
        <v>758</v>
      </c>
      <c r="B607" s="372" t="s">
        <v>60</v>
      </c>
      <c r="C607" s="372" t="s">
        <v>200</v>
      </c>
      <c r="D607" s="372" t="s">
        <v>195</v>
      </c>
      <c r="E607" s="372" t="s">
        <v>1099</v>
      </c>
      <c r="F607" s="372" t="s">
        <v>266</v>
      </c>
      <c r="G607" s="197">
        <v>220.5</v>
      </c>
      <c r="H607" s="197">
        <v>220.5</v>
      </c>
      <c r="I607" s="197">
        <v>220.5</v>
      </c>
    </row>
    <row r="608" spans="1:9" ht="15.75">
      <c r="A608" s="372" t="s">
        <v>863</v>
      </c>
      <c r="B608" s="372" t="s">
        <v>60</v>
      </c>
      <c r="C608" s="372" t="s">
        <v>200</v>
      </c>
      <c r="D608" s="372" t="s">
        <v>4</v>
      </c>
      <c r="E608" s="373"/>
      <c r="F608" s="373"/>
      <c r="G608" s="197">
        <v>16.13</v>
      </c>
      <c r="H608" s="197">
        <v>16.86</v>
      </c>
      <c r="I608" s="197">
        <v>17.734999999999999</v>
      </c>
    </row>
    <row r="609" spans="1:9" ht="94.5">
      <c r="A609" s="372" t="s">
        <v>864</v>
      </c>
      <c r="B609" s="372" t="s">
        <v>60</v>
      </c>
      <c r="C609" s="372" t="s">
        <v>200</v>
      </c>
      <c r="D609" s="372" t="s">
        <v>4</v>
      </c>
      <c r="E609" s="372" t="s">
        <v>855</v>
      </c>
      <c r="F609" s="373"/>
      <c r="G609" s="197">
        <v>16.13</v>
      </c>
      <c r="H609" s="197">
        <v>16.86</v>
      </c>
      <c r="I609" s="197">
        <v>17.734999999999999</v>
      </c>
    </row>
    <row r="610" spans="1:9" ht="31.5">
      <c r="A610" s="372" t="s">
        <v>509</v>
      </c>
      <c r="B610" s="372" t="s">
        <v>60</v>
      </c>
      <c r="C610" s="372" t="s">
        <v>200</v>
      </c>
      <c r="D610" s="372" t="s">
        <v>4</v>
      </c>
      <c r="E610" s="372" t="s">
        <v>856</v>
      </c>
      <c r="F610" s="373"/>
      <c r="G610" s="197">
        <v>16.13</v>
      </c>
      <c r="H610" s="197">
        <v>16.86</v>
      </c>
      <c r="I610" s="197">
        <v>17.734999999999999</v>
      </c>
    </row>
    <row r="611" spans="1:9" ht="31.5">
      <c r="A611" s="372" t="s">
        <v>1441</v>
      </c>
      <c r="B611" s="372" t="s">
        <v>60</v>
      </c>
      <c r="C611" s="372" t="s">
        <v>200</v>
      </c>
      <c r="D611" s="372" t="s">
        <v>4</v>
      </c>
      <c r="E611" s="372" t="s">
        <v>856</v>
      </c>
      <c r="F611" s="373"/>
      <c r="G611" s="197">
        <v>16.13</v>
      </c>
      <c r="H611" s="197">
        <v>16.86</v>
      </c>
      <c r="I611" s="197">
        <v>17.734999999999999</v>
      </c>
    </row>
    <row r="612" spans="1:9" ht="157.5">
      <c r="A612" s="372" t="s">
        <v>899</v>
      </c>
      <c r="B612" s="372" t="s">
        <v>60</v>
      </c>
      <c r="C612" s="372" t="s">
        <v>200</v>
      </c>
      <c r="D612" s="372" t="s">
        <v>4</v>
      </c>
      <c r="E612" s="372" t="s">
        <v>858</v>
      </c>
      <c r="F612" s="373"/>
      <c r="G612" s="197">
        <v>16.13</v>
      </c>
      <c r="H612" s="197">
        <v>16.86</v>
      </c>
      <c r="I612" s="197">
        <v>17.734999999999999</v>
      </c>
    </row>
    <row r="613" spans="1:9" ht="63">
      <c r="A613" s="372" t="s">
        <v>758</v>
      </c>
      <c r="B613" s="372" t="s">
        <v>60</v>
      </c>
      <c r="C613" s="372" t="s">
        <v>200</v>
      </c>
      <c r="D613" s="372" t="s">
        <v>4</v>
      </c>
      <c r="E613" s="372" t="s">
        <v>858</v>
      </c>
      <c r="F613" s="372" t="s">
        <v>266</v>
      </c>
      <c r="G613" s="197">
        <v>16.13</v>
      </c>
      <c r="H613" s="197">
        <v>16.86</v>
      </c>
      <c r="I613" s="197">
        <v>17.734999999999999</v>
      </c>
    </row>
    <row r="614" spans="1:9" ht="31.5">
      <c r="A614" s="372" t="s">
        <v>469</v>
      </c>
      <c r="B614" s="372" t="s">
        <v>60</v>
      </c>
      <c r="C614" s="372" t="s">
        <v>200</v>
      </c>
      <c r="D614" s="372" t="s">
        <v>6</v>
      </c>
      <c r="E614" s="373"/>
      <c r="F614" s="373"/>
      <c r="G614" s="197">
        <v>1802.6894199999999</v>
      </c>
      <c r="H614" s="197">
        <v>631.20600000000002</v>
      </c>
      <c r="I614" s="197">
        <v>631.20600000000002</v>
      </c>
    </row>
    <row r="615" spans="1:9" ht="110.25">
      <c r="A615" s="372" t="s">
        <v>500</v>
      </c>
      <c r="B615" s="372" t="s">
        <v>60</v>
      </c>
      <c r="C615" s="372" t="s">
        <v>200</v>
      </c>
      <c r="D615" s="372" t="s">
        <v>6</v>
      </c>
      <c r="E615" s="372" t="s">
        <v>353</v>
      </c>
      <c r="F615" s="373"/>
      <c r="G615" s="197">
        <v>10</v>
      </c>
      <c r="H615" s="197">
        <v>10</v>
      </c>
      <c r="I615" s="197">
        <v>10</v>
      </c>
    </row>
    <row r="616" spans="1:9" ht="15.75">
      <c r="A616" s="372" t="s">
        <v>501</v>
      </c>
      <c r="B616" s="372" t="s">
        <v>60</v>
      </c>
      <c r="C616" s="372" t="s">
        <v>200</v>
      </c>
      <c r="D616" s="372" t="s">
        <v>6</v>
      </c>
      <c r="E616" s="372" t="s">
        <v>354</v>
      </c>
      <c r="F616" s="373"/>
      <c r="G616" s="197">
        <v>10</v>
      </c>
      <c r="H616" s="197">
        <v>10</v>
      </c>
      <c r="I616" s="197">
        <v>10</v>
      </c>
    </row>
    <row r="617" spans="1:9" ht="236.25">
      <c r="A617" s="372" t="s">
        <v>1466</v>
      </c>
      <c r="B617" s="372" t="s">
        <v>60</v>
      </c>
      <c r="C617" s="372" t="s">
        <v>200</v>
      </c>
      <c r="D617" s="372" t="s">
        <v>6</v>
      </c>
      <c r="E617" s="372" t="s">
        <v>355</v>
      </c>
      <c r="F617" s="373"/>
      <c r="G617" s="197">
        <v>10</v>
      </c>
      <c r="H617" s="197">
        <v>10</v>
      </c>
      <c r="I617" s="197">
        <v>10</v>
      </c>
    </row>
    <row r="618" spans="1:9" ht="63">
      <c r="A618" s="372" t="s">
        <v>789</v>
      </c>
      <c r="B618" s="372" t="s">
        <v>60</v>
      </c>
      <c r="C618" s="372" t="s">
        <v>200</v>
      </c>
      <c r="D618" s="372" t="s">
        <v>6</v>
      </c>
      <c r="E618" s="372" t="s">
        <v>356</v>
      </c>
      <c r="F618" s="373"/>
      <c r="G618" s="197">
        <v>10</v>
      </c>
      <c r="H618" s="197">
        <v>10</v>
      </c>
      <c r="I618" s="197">
        <v>10</v>
      </c>
    </row>
    <row r="619" spans="1:9" ht="63">
      <c r="A619" s="372" t="s">
        <v>758</v>
      </c>
      <c r="B619" s="372" t="s">
        <v>60</v>
      </c>
      <c r="C619" s="372" t="s">
        <v>200</v>
      </c>
      <c r="D619" s="372" t="s">
        <v>6</v>
      </c>
      <c r="E619" s="372" t="s">
        <v>356</v>
      </c>
      <c r="F619" s="372" t="s">
        <v>266</v>
      </c>
      <c r="G619" s="197">
        <v>10</v>
      </c>
      <c r="H619" s="197">
        <v>10</v>
      </c>
      <c r="I619" s="197">
        <v>10</v>
      </c>
    </row>
    <row r="620" spans="1:9" ht="78.75">
      <c r="A620" s="372" t="s">
        <v>1131</v>
      </c>
      <c r="B620" s="372" t="s">
        <v>60</v>
      </c>
      <c r="C620" s="372" t="s">
        <v>200</v>
      </c>
      <c r="D620" s="372" t="s">
        <v>6</v>
      </c>
      <c r="E620" s="372" t="s">
        <v>389</v>
      </c>
      <c r="F620" s="373"/>
      <c r="G620" s="197">
        <v>438.00799999999998</v>
      </c>
      <c r="H620" s="197">
        <v>438.00799999999998</v>
      </c>
      <c r="I620" s="197">
        <v>438.00799999999998</v>
      </c>
    </row>
    <row r="621" spans="1:9" ht="78.75">
      <c r="A621" s="372" t="s">
        <v>1442</v>
      </c>
      <c r="B621" s="372" t="s">
        <v>60</v>
      </c>
      <c r="C621" s="372" t="s">
        <v>200</v>
      </c>
      <c r="D621" s="372" t="s">
        <v>6</v>
      </c>
      <c r="E621" s="372" t="s">
        <v>389</v>
      </c>
      <c r="F621" s="373"/>
      <c r="G621" s="197">
        <v>438.00799999999998</v>
      </c>
      <c r="H621" s="197">
        <v>438.00799999999998</v>
      </c>
      <c r="I621" s="197">
        <v>438.00799999999998</v>
      </c>
    </row>
    <row r="622" spans="1:9" ht="94.5">
      <c r="A622" s="372" t="s">
        <v>1476</v>
      </c>
      <c r="B622" s="372" t="s">
        <v>60</v>
      </c>
      <c r="C622" s="372" t="s">
        <v>200</v>
      </c>
      <c r="D622" s="372" t="s">
        <v>6</v>
      </c>
      <c r="E622" s="372" t="s">
        <v>1064</v>
      </c>
      <c r="F622" s="373"/>
      <c r="G622" s="197">
        <v>31.608000000000001</v>
      </c>
      <c r="H622" s="197">
        <v>31.608000000000001</v>
      </c>
      <c r="I622" s="197">
        <v>31.608000000000001</v>
      </c>
    </row>
    <row r="623" spans="1:9" ht="78.75">
      <c r="A623" s="372" t="s">
        <v>1141</v>
      </c>
      <c r="B623" s="372" t="s">
        <v>60</v>
      </c>
      <c r="C623" s="372" t="s">
        <v>200</v>
      </c>
      <c r="D623" s="372" t="s">
        <v>6</v>
      </c>
      <c r="E623" s="372" t="s">
        <v>1066</v>
      </c>
      <c r="F623" s="373"/>
      <c r="G623" s="197">
        <v>31.608000000000001</v>
      </c>
      <c r="H623" s="197">
        <v>31.608000000000001</v>
      </c>
      <c r="I623" s="197">
        <v>31.608000000000001</v>
      </c>
    </row>
    <row r="624" spans="1:9" ht="141.75">
      <c r="A624" s="372" t="s">
        <v>771</v>
      </c>
      <c r="B624" s="372" t="s">
        <v>60</v>
      </c>
      <c r="C624" s="372" t="s">
        <v>200</v>
      </c>
      <c r="D624" s="372" t="s">
        <v>6</v>
      </c>
      <c r="E624" s="372" t="s">
        <v>1066</v>
      </c>
      <c r="F624" s="372" t="s">
        <v>265</v>
      </c>
      <c r="G624" s="197">
        <v>20</v>
      </c>
      <c r="H624" s="197">
        <v>25</v>
      </c>
      <c r="I624" s="197">
        <v>25</v>
      </c>
    </row>
    <row r="625" spans="1:9" ht="63">
      <c r="A625" s="372" t="s">
        <v>758</v>
      </c>
      <c r="B625" s="372" t="s">
        <v>60</v>
      </c>
      <c r="C625" s="372" t="s">
        <v>200</v>
      </c>
      <c r="D625" s="372" t="s">
        <v>6</v>
      </c>
      <c r="E625" s="372" t="s">
        <v>1066</v>
      </c>
      <c r="F625" s="372" t="s">
        <v>266</v>
      </c>
      <c r="G625" s="197">
        <v>6.2009999999999996</v>
      </c>
      <c r="H625" s="197">
        <v>4.2</v>
      </c>
      <c r="I625" s="197">
        <v>4.2</v>
      </c>
    </row>
    <row r="626" spans="1:9" ht="31.5">
      <c r="A626" s="372" t="s">
        <v>772</v>
      </c>
      <c r="B626" s="372" t="s">
        <v>60</v>
      </c>
      <c r="C626" s="372" t="s">
        <v>200</v>
      </c>
      <c r="D626" s="372" t="s">
        <v>6</v>
      </c>
      <c r="E626" s="372" t="s">
        <v>1066</v>
      </c>
      <c r="F626" s="372" t="s">
        <v>267</v>
      </c>
      <c r="G626" s="197">
        <v>5.407</v>
      </c>
      <c r="H626" s="197">
        <v>2.4079999999999999</v>
      </c>
      <c r="I626" s="197">
        <v>2.4079999999999999</v>
      </c>
    </row>
    <row r="627" spans="1:9" ht="47.25">
      <c r="A627" s="372" t="s">
        <v>1477</v>
      </c>
      <c r="B627" s="372" t="s">
        <v>60</v>
      </c>
      <c r="C627" s="372" t="s">
        <v>200</v>
      </c>
      <c r="D627" s="372" t="s">
        <v>6</v>
      </c>
      <c r="E627" s="372" t="s">
        <v>1071</v>
      </c>
      <c r="F627" s="373"/>
      <c r="G627" s="197">
        <v>200</v>
      </c>
      <c r="H627" s="197">
        <v>200</v>
      </c>
      <c r="I627" s="197">
        <v>200</v>
      </c>
    </row>
    <row r="628" spans="1:9" ht="47.25">
      <c r="A628" s="372" t="s">
        <v>770</v>
      </c>
      <c r="B628" s="372" t="s">
        <v>60</v>
      </c>
      <c r="C628" s="372" t="s">
        <v>200</v>
      </c>
      <c r="D628" s="372" t="s">
        <v>6</v>
      </c>
      <c r="E628" s="372" t="s">
        <v>1072</v>
      </c>
      <c r="F628" s="373"/>
      <c r="G628" s="197">
        <v>200</v>
      </c>
      <c r="H628" s="197">
        <v>200</v>
      </c>
      <c r="I628" s="197">
        <v>200</v>
      </c>
    </row>
    <row r="629" spans="1:9" ht="63">
      <c r="A629" s="372" t="s">
        <v>755</v>
      </c>
      <c r="B629" s="372" t="s">
        <v>60</v>
      </c>
      <c r="C629" s="372" t="s">
        <v>200</v>
      </c>
      <c r="D629" s="372" t="s">
        <v>6</v>
      </c>
      <c r="E629" s="372" t="s">
        <v>1072</v>
      </c>
      <c r="F629" s="372" t="s">
        <v>268</v>
      </c>
      <c r="G629" s="197">
        <v>200</v>
      </c>
      <c r="H629" s="197">
        <v>200</v>
      </c>
      <c r="I629" s="197">
        <v>200</v>
      </c>
    </row>
    <row r="630" spans="1:9" ht="47.25">
      <c r="A630" s="372" t="s">
        <v>1478</v>
      </c>
      <c r="B630" s="372" t="s">
        <v>60</v>
      </c>
      <c r="C630" s="372" t="s">
        <v>200</v>
      </c>
      <c r="D630" s="372" t="s">
        <v>6</v>
      </c>
      <c r="E630" s="372" t="s">
        <v>1076</v>
      </c>
      <c r="F630" s="373"/>
      <c r="G630" s="197">
        <v>206.4</v>
      </c>
      <c r="H630" s="197">
        <v>206.4</v>
      </c>
      <c r="I630" s="197">
        <v>206.4</v>
      </c>
    </row>
    <row r="631" spans="1:9" ht="63">
      <c r="A631" s="372" t="s">
        <v>1142</v>
      </c>
      <c r="B631" s="372" t="s">
        <v>60</v>
      </c>
      <c r="C631" s="372" t="s">
        <v>200</v>
      </c>
      <c r="D631" s="372" t="s">
        <v>6</v>
      </c>
      <c r="E631" s="372" t="s">
        <v>1078</v>
      </c>
      <c r="F631" s="373"/>
      <c r="G631" s="197">
        <v>206.4</v>
      </c>
      <c r="H631" s="197">
        <v>206.4</v>
      </c>
      <c r="I631" s="197">
        <v>206.4</v>
      </c>
    </row>
    <row r="632" spans="1:9" ht="63">
      <c r="A632" s="372" t="s">
        <v>758</v>
      </c>
      <c r="B632" s="372" t="s">
        <v>60</v>
      </c>
      <c r="C632" s="372" t="s">
        <v>200</v>
      </c>
      <c r="D632" s="372" t="s">
        <v>6</v>
      </c>
      <c r="E632" s="372" t="s">
        <v>1078</v>
      </c>
      <c r="F632" s="372" t="s">
        <v>266</v>
      </c>
      <c r="G632" s="197">
        <v>206.4</v>
      </c>
      <c r="H632" s="197">
        <v>206.4</v>
      </c>
      <c r="I632" s="197">
        <v>206.4</v>
      </c>
    </row>
    <row r="633" spans="1:9" ht="78.75">
      <c r="A633" s="372" t="s">
        <v>484</v>
      </c>
      <c r="B633" s="372" t="s">
        <v>60</v>
      </c>
      <c r="C633" s="372" t="s">
        <v>200</v>
      </c>
      <c r="D633" s="372" t="s">
        <v>6</v>
      </c>
      <c r="E633" s="372" t="s">
        <v>396</v>
      </c>
      <c r="F633" s="373"/>
      <c r="G633" s="197">
        <v>183.19800000000001</v>
      </c>
      <c r="H633" s="197">
        <v>183.19800000000001</v>
      </c>
      <c r="I633" s="197">
        <v>183.19800000000001</v>
      </c>
    </row>
    <row r="634" spans="1:9" ht="63">
      <c r="A634" s="372" t="s">
        <v>1124</v>
      </c>
      <c r="B634" s="372" t="s">
        <v>60</v>
      </c>
      <c r="C634" s="372" t="s">
        <v>200</v>
      </c>
      <c r="D634" s="372" t="s">
        <v>6</v>
      </c>
      <c r="E634" s="372" t="s">
        <v>397</v>
      </c>
      <c r="F634" s="373"/>
      <c r="G634" s="197">
        <v>33.198</v>
      </c>
      <c r="H634" s="197">
        <v>33.198</v>
      </c>
      <c r="I634" s="197">
        <v>33.198</v>
      </c>
    </row>
    <row r="635" spans="1:9" ht="78.75">
      <c r="A635" s="372" t="s">
        <v>1475</v>
      </c>
      <c r="B635" s="372" t="s">
        <v>60</v>
      </c>
      <c r="C635" s="372" t="s">
        <v>200</v>
      </c>
      <c r="D635" s="372" t="s">
        <v>6</v>
      </c>
      <c r="E635" s="372" t="s">
        <v>401</v>
      </c>
      <c r="F635" s="373"/>
      <c r="G635" s="197">
        <v>33.198</v>
      </c>
      <c r="H635" s="197">
        <v>33.198</v>
      </c>
      <c r="I635" s="197">
        <v>33.198</v>
      </c>
    </row>
    <row r="636" spans="1:9" ht="63">
      <c r="A636" s="372" t="s">
        <v>816</v>
      </c>
      <c r="B636" s="372" t="s">
        <v>60</v>
      </c>
      <c r="C636" s="372" t="s">
        <v>200</v>
      </c>
      <c r="D636" s="372" t="s">
        <v>6</v>
      </c>
      <c r="E636" s="372" t="s">
        <v>402</v>
      </c>
      <c r="F636" s="373"/>
      <c r="G636" s="197">
        <v>33.198</v>
      </c>
      <c r="H636" s="197">
        <v>33.198</v>
      </c>
      <c r="I636" s="197">
        <v>33.198</v>
      </c>
    </row>
    <row r="637" spans="1:9" ht="63">
      <c r="A637" s="372" t="s">
        <v>758</v>
      </c>
      <c r="B637" s="372" t="s">
        <v>60</v>
      </c>
      <c r="C637" s="372" t="s">
        <v>200</v>
      </c>
      <c r="D637" s="372" t="s">
        <v>6</v>
      </c>
      <c r="E637" s="372" t="s">
        <v>402</v>
      </c>
      <c r="F637" s="372" t="s">
        <v>266</v>
      </c>
      <c r="G637" s="197">
        <v>33.198</v>
      </c>
      <c r="H637" s="197">
        <v>33.198</v>
      </c>
      <c r="I637" s="197">
        <v>33.198</v>
      </c>
    </row>
    <row r="638" spans="1:9" ht="47.25">
      <c r="A638" s="372" t="s">
        <v>522</v>
      </c>
      <c r="B638" s="372" t="s">
        <v>60</v>
      </c>
      <c r="C638" s="372" t="s">
        <v>200</v>
      </c>
      <c r="D638" s="372" t="s">
        <v>6</v>
      </c>
      <c r="E638" s="372" t="s">
        <v>404</v>
      </c>
      <c r="F638" s="373"/>
      <c r="G638" s="197">
        <v>150</v>
      </c>
      <c r="H638" s="197">
        <v>150</v>
      </c>
      <c r="I638" s="197">
        <v>150</v>
      </c>
    </row>
    <row r="639" spans="1:9" ht="94.5">
      <c r="A639" s="372" t="s">
        <v>1479</v>
      </c>
      <c r="B639" s="372" t="s">
        <v>60</v>
      </c>
      <c r="C639" s="372" t="s">
        <v>200</v>
      </c>
      <c r="D639" s="372" t="s">
        <v>6</v>
      </c>
      <c r="E639" s="372" t="s">
        <v>405</v>
      </c>
      <c r="F639" s="373"/>
      <c r="G639" s="197">
        <v>150</v>
      </c>
      <c r="H639" s="197">
        <v>150</v>
      </c>
      <c r="I639" s="197">
        <v>150</v>
      </c>
    </row>
    <row r="640" spans="1:9" ht="47.25">
      <c r="A640" s="372" t="s">
        <v>818</v>
      </c>
      <c r="B640" s="372" t="s">
        <v>60</v>
      </c>
      <c r="C640" s="372" t="s">
        <v>200</v>
      </c>
      <c r="D640" s="372" t="s">
        <v>6</v>
      </c>
      <c r="E640" s="372" t="s">
        <v>1100</v>
      </c>
      <c r="F640" s="373"/>
      <c r="G640" s="197">
        <v>150</v>
      </c>
      <c r="H640" s="197">
        <v>150</v>
      </c>
      <c r="I640" s="197">
        <v>150</v>
      </c>
    </row>
    <row r="641" spans="1:9" ht="141.75">
      <c r="A641" s="372" t="s">
        <v>771</v>
      </c>
      <c r="B641" s="372" t="s">
        <v>60</v>
      </c>
      <c r="C641" s="372" t="s">
        <v>200</v>
      </c>
      <c r="D641" s="372" t="s">
        <v>6</v>
      </c>
      <c r="E641" s="372" t="s">
        <v>1100</v>
      </c>
      <c r="F641" s="372" t="s">
        <v>265</v>
      </c>
      <c r="G641" s="197">
        <v>15</v>
      </c>
      <c r="H641" s="197">
        <v>0</v>
      </c>
      <c r="I641" s="197">
        <v>0</v>
      </c>
    </row>
    <row r="642" spans="1:9" ht="63">
      <c r="A642" s="372" t="s">
        <v>755</v>
      </c>
      <c r="B642" s="372" t="s">
        <v>60</v>
      </c>
      <c r="C642" s="372" t="s">
        <v>200</v>
      </c>
      <c r="D642" s="372" t="s">
        <v>6</v>
      </c>
      <c r="E642" s="372" t="s">
        <v>1100</v>
      </c>
      <c r="F642" s="372" t="s">
        <v>268</v>
      </c>
      <c r="G642" s="197">
        <v>135</v>
      </c>
      <c r="H642" s="197">
        <v>100</v>
      </c>
      <c r="I642" s="197">
        <v>100</v>
      </c>
    </row>
    <row r="643" spans="1:9" ht="31.5">
      <c r="A643" s="372" t="s">
        <v>772</v>
      </c>
      <c r="B643" s="372" t="s">
        <v>60</v>
      </c>
      <c r="C643" s="372" t="s">
        <v>200</v>
      </c>
      <c r="D643" s="372" t="s">
        <v>6</v>
      </c>
      <c r="E643" s="372" t="s">
        <v>1100</v>
      </c>
      <c r="F643" s="372" t="s">
        <v>267</v>
      </c>
      <c r="G643" s="197">
        <v>0</v>
      </c>
      <c r="H643" s="197">
        <v>50</v>
      </c>
      <c r="I643" s="197">
        <v>50</v>
      </c>
    </row>
    <row r="644" spans="1:9" ht="63">
      <c r="A644" s="372" t="s">
        <v>523</v>
      </c>
      <c r="B644" s="372" t="s">
        <v>60</v>
      </c>
      <c r="C644" s="372" t="s">
        <v>200</v>
      </c>
      <c r="D644" s="372" t="s">
        <v>6</v>
      </c>
      <c r="E644" s="372" t="s">
        <v>420</v>
      </c>
      <c r="F644" s="373"/>
      <c r="G644" s="197">
        <v>352.18342000000001</v>
      </c>
      <c r="H644" s="197">
        <v>0</v>
      </c>
      <c r="I644" s="197">
        <v>0</v>
      </c>
    </row>
    <row r="645" spans="1:9" ht="31.5">
      <c r="A645" s="372" t="s">
        <v>509</v>
      </c>
      <c r="B645" s="372" t="s">
        <v>60</v>
      </c>
      <c r="C645" s="372" t="s">
        <v>200</v>
      </c>
      <c r="D645" s="372" t="s">
        <v>6</v>
      </c>
      <c r="E645" s="372" t="s">
        <v>421</v>
      </c>
      <c r="F645" s="373"/>
      <c r="G645" s="197">
        <v>352.18342000000001</v>
      </c>
      <c r="H645" s="197">
        <v>0</v>
      </c>
      <c r="I645" s="197">
        <v>0</v>
      </c>
    </row>
    <row r="646" spans="1:9" ht="31.5">
      <c r="A646" s="372" t="s">
        <v>1441</v>
      </c>
      <c r="B646" s="372" t="s">
        <v>60</v>
      </c>
      <c r="C646" s="372" t="s">
        <v>200</v>
      </c>
      <c r="D646" s="372" t="s">
        <v>6</v>
      </c>
      <c r="E646" s="372" t="s">
        <v>421</v>
      </c>
      <c r="F646" s="373"/>
      <c r="G646" s="197">
        <v>352.18342000000001</v>
      </c>
      <c r="H646" s="197">
        <v>0</v>
      </c>
      <c r="I646" s="197">
        <v>0</v>
      </c>
    </row>
    <row r="647" spans="1:9" ht="204.75">
      <c r="A647" s="372" t="s">
        <v>1184</v>
      </c>
      <c r="B647" s="372" t="s">
        <v>60</v>
      </c>
      <c r="C647" s="372" t="s">
        <v>200</v>
      </c>
      <c r="D647" s="372" t="s">
        <v>6</v>
      </c>
      <c r="E647" s="372" t="s">
        <v>1178</v>
      </c>
      <c r="F647" s="373"/>
      <c r="G647" s="197">
        <v>352.18342000000001</v>
      </c>
      <c r="H647" s="197">
        <v>0</v>
      </c>
      <c r="I647" s="197">
        <v>0</v>
      </c>
    </row>
    <row r="648" spans="1:9" ht="31.5">
      <c r="A648" s="372" t="s">
        <v>772</v>
      </c>
      <c r="B648" s="372" t="s">
        <v>60</v>
      </c>
      <c r="C648" s="372" t="s">
        <v>200</v>
      </c>
      <c r="D648" s="372" t="s">
        <v>6</v>
      </c>
      <c r="E648" s="372" t="s">
        <v>1178</v>
      </c>
      <c r="F648" s="372" t="s">
        <v>267</v>
      </c>
      <c r="G648" s="197">
        <v>352.18342000000001</v>
      </c>
      <c r="H648" s="197">
        <v>0</v>
      </c>
      <c r="I648" s="197">
        <v>0</v>
      </c>
    </row>
    <row r="649" spans="1:9" ht="63">
      <c r="A649" s="372" t="s">
        <v>524</v>
      </c>
      <c r="B649" s="372" t="s">
        <v>60</v>
      </c>
      <c r="C649" s="372" t="s">
        <v>200</v>
      </c>
      <c r="D649" s="372" t="s">
        <v>6</v>
      </c>
      <c r="E649" s="372" t="s">
        <v>444</v>
      </c>
      <c r="F649" s="373"/>
      <c r="G649" s="197">
        <v>819.3</v>
      </c>
      <c r="H649" s="197">
        <v>0</v>
      </c>
      <c r="I649" s="197">
        <v>0</v>
      </c>
    </row>
    <row r="650" spans="1:9" ht="31.5">
      <c r="A650" s="372" t="s">
        <v>509</v>
      </c>
      <c r="B650" s="372" t="s">
        <v>60</v>
      </c>
      <c r="C650" s="372" t="s">
        <v>200</v>
      </c>
      <c r="D650" s="372" t="s">
        <v>6</v>
      </c>
      <c r="E650" s="372" t="s">
        <v>445</v>
      </c>
      <c r="F650" s="373"/>
      <c r="G650" s="197">
        <v>819.3</v>
      </c>
      <c r="H650" s="197">
        <v>0</v>
      </c>
      <c r="I650" s="197">
        <v>0</v>
      </c>
    </row>
    <row r="651" spans="1:9" ht="31.5">
      <c r="A651" s="372" t="s">
        <v>1441</v>
      </c>
      <c r="B651" s="372" t="s">
        <v>60</v>
      </c>
      <c r="C651" s="372" t="s">
        <v>200</v>
      </c>
      <c r="D651" s="372" t="s">
        <v>6</v>
      </c>
      <c r="E651" s="372" t="s">
        <v>445</v>
      </c>
      <c r="F651" s="373"/>
      <c r="G651" s="197">
        <v>819.3</v>
      </c>
      <c r="H651" s="197">
        <v>0</v>
      </c>
      <c r="I651" s="197">
        <v>0</v>
      </c>
    </row>
    <row r="652" spans="1:9" ht="189">
      <c r="A652" s="372" t="s">
        <v>1233</v>
      </c>
      <c r="B652" s="372" t="s">
        <v>60</v>
      </c>
      <c r="C652" s="372" t="s">
        <v>200</v>
      </c>
      <c r="D652" s="372" t="s">
        <v>6</v>
      </c>
      <c r="E652" s="372" t="s">
        <v>1228</v>
      </c>
      <c r="F652" s="373"/>
      <c r="G652" s="197">
        <v>819.3</v>
      </c>
      <c r="H652" s="197">
        <v>0</v>
      </c>
      <c r="I652" s="197">
        <v>0</v>
      </c>
    </row>
    <row r="653" spans="1:9" ht="63">
      <c r="A653" s="372" t="s">
        <v>758</v>
      </c>
      <c r="B653" s="372" t="s">
        <v>60</v>
      </c>
      <c r="C653" s="372" t="s">
        <v>200</v>
      </c>
      <c r="D653" s="372" t="s">
        <v>6</v>
      </c>
      <c r="E653" s="372" t="s">
        <v>1228</v>
      </c>
      <c r="F653" s="372" t="s">
        <v>266</v>
      </c>
      <c r="G653" s="197">
        <v>819.3</v>
      </c>
      <c r="H653" s="197">
        <v>0</v>
      </c>
      <c r="I653" s="197">
        <v>0</v>
      </c>
    </row>
    <row r="654" spans="1:9" ht="31.5">
      <c r="A654" s="372" t="s">
        <v>472</v>
      </c>
      <c r="B654" s="372" t="s">
        <v>60</v>
      </c>
      <c r="C654" s="372" t="s">
        <v>195</v>
      </c>
      <c r="D654" s="373"/>
      <c r="E654" s="373"/>
      <c r="F654" s="373"/>
      <c r="G654" s="197">
        <v>200</v>
      </c>
      <c r="H654" s="197">
        <v>200</v>
      </c>
      <c r="I654" s="197">
        <v>200</v>
      </c>
    </row>
    <row r="655" spans="1:9" ht="31.5">
      <c r="A655" s="372" t="s">
        <v>473</v>
      </c>
      <c r="B655" s="372" t="s">
        <v>60</v>
      </c>
      <c r="C655" s="372" t="s">
        <v>195</v>
      </c>
      <c r="D655" s="372" t="s">
        <v>196</v>
      </c>
      <c r="E655" s="373"/>
      <c r="F655" s="373"/>
      <c r="G655" s="197">
        <v>200</v>
      </c>
      <c r="H655" s="197">
        <v>200</v>
      </c>
      <c r="I655" s="197">
        <v>200</v>
      </c>
    </row>
    <row r="656" spans="1:9" ht="78.75">
      <c r="A656" s="372" t="s">
        <v>1143</v>
      </c>
      <c r="B656" s="372" t="s">
        <v>60</v>
      </c>
      <c r="C656" s="372" t="s">
        <v>195</v>
      </c>
      <c r="D656" s="372" t="s">
        <v>196</v>
      </c>
      <c r="E656" s="372" t="s">
        <v>370</v>
      </c>
      <c r="F656" s="373"/>
      <c r="G656" s="197">
        <v>200</v>
      </c>
      <c r="H656" s="197">
        <v>200</v>
      </c>
      <c r="I656" s="197">
        <v>200</v>
      </c>
    </row>
    <row r="657" spans="1:9" ht="78.75">
      <c r="A657" s="372" t="s">
        <v>1444</v>
      </c>
      <c r="B657" s="372" t="s">
        <v>60</v>
      </c>
      <c r="C657" s="372" t="s">
        <v>195</v>
      </c>
      <c r="D657" s="372" t="s">
        <v>196</v>
      </c>
      <c r="E657" s="372" t="s">
        <v>370</v>
      </c>
      <c r="F657" s="373"/>
      <c r="G657" s="197">
        <v>200</v>
      </c>
      <c r="H657" s="197">
        <v>200</v>
      </c>
      <c r="I657" s="197">
        <v>200</v>
      </c>
    </row>
    <row r="658" spans="1:9" ht="63">
      <c r="A658" s="372" t="s">
        <v>1480</v>
      </c>
      <c r="B658" s="372" t="s">
        <v>60</v>
      </c>
      <c r="C658" s="372" t="s">
        <v>195</v>
      </c>
      <c r="D658" s="372" t="s">
        <v>196</v>
      </c>
      <c r="E658" s="372" t="s">
        <v>1028</v>
      </c>
      <c r="F658" s="373"/>
      <c r="G658" s="197">
        <v>200</v>
      </c>
      <c r="H658" s="197">
        <v>200</v>
      </c>
      <c r="I658" s="197">
        <v>200</v>
      </c>
    </row>
    <row r="659" spans="1:9" ht="47.25">
      <c r="A659" s="372" t="s">
        <v>883</v>
      </c>
      <c r="B659" s="372" t="s">
        <v>60</v>
      </c>
      <c r="C659" s="372" t="s">
        <v>195</v>
      </c>
      <c r="D659" s="372" t="s">
        <v>196</v>
      </c>
      <c r="E659" s="372" t="s">
        <v>1029</v>
      </c>
      <c r="F659" s="373"/>
      <c r="G659" s="197">
        <v>200</v>
      </c>
      <c r="H659" s="197">
        <v>200</v>
      </c>
      <c r="I659" s="197">
        <v>200</v>
      </c>
    </row>
    <row r="660" spans="1:9" ht="31.5">
      <c r="A660" s="372" t="s">
        <v>772</v>
      </c>
      <c r="B660" s="372" t="s">
        <v>60</v>
      </c>
      <c r="C660" s="372" t="s">
        <v>195</v>
      </c>
      <c r="D660" s="372" t="s">
        <v>196</v>
      </c>
      <c r="E660" s="372" t="s">
        <v>1029</v>
      </c>
      <c r="F660" s="372" t="s">
        <v>267</v>
      </c>
      <c r="G660" s="197">
        <v>200</v>
      </c>
      <c r="H660" s="197">
        <v>200</v>
      </c>
      <c r="I660" s="197">
        <v>200</v>
      </c>
    </row>
    <row r="661" spans="1:9" ht="31.5">
      <c r="A661" s="372" t="s">
        <v>510</v>
      </c>
      <c r="B661" s="372" t="s">
        <v>60</v>
      </c>
      <c r="C661" s="372" t="s">
        <v>4</v>
      </c>
      <c r="D661" s="373"/>
      <c r="E661" s="373"/>
      <c r="F661" s="373"/>
      <c r="G661" s="197">
        <v>55041.74497</v>
      </c>
      <c r="H661" s="197">
        <v>7060.4</v>
      </c>
      <c r="I661" s="197">
        <v>7060.4</v>
      </c>
    </row>
    <row r="662" spans="1:9" ht="15.75">
      <c r="A662" s="372" t="s">
        <v>511</v>
      </c>
      <c r="B662" s="372" t="s">
        <v>60</v>
      </c>
      <c r="C662" s="372" t="s">
        <v>4</v>
      </c>
      <c r="D662" s="372" t="s">
        <v>200</v>
      </c>
      <c r="E662" s="373"/>
      <c r="F662" s="373"/>
      <c r="G662" s="197">
        <v>54991.344969999998</v>
      </c>
      <c r="H662" s="197">
        <v>7040</v>
      </c>
      <c r="I662" s="197">
        <v>7040</v>
      </c>
    </row>
    <row r="663" spans="1:9" ht="110.25">
      <c r="A663" s="372" t="s">
        <v>500</v>
      </c>
      <c r="B663" s="372" t="s">
        <v>60</v>
      </c>
      <c r="C663" s="372" t="s">
        <v>4</v>
      </c>
      <c r="D663" s="372" t="s">
        <v>200</v>
      </c>
      <c r="E663" s="372" t="s">
        <v>353</v>
      </c>
      <c r="F663" s="373"/>
      <c r="G663" s="197">
        <v>49877.1014</v>
      </c>
      <c r="H663" s="197">
        <v>7040</v>
      </c>
      <c r="I663" s="197">
        <v>7040</v>
      </c>
    </row>
    <row r="664" spans="1:9" ht="15.75">
      <c r="A664" s="372" t="s">
        <v>501</v>
      </c>
      <c r="B664" s="372" t="s">
        <v>60</v>
      </c>
      <c r="C664" s="372" t="s">
        <v>4</v>
      </c>
      <c r="D664" s="372" t="s">
        <v>200</v>
      </c>
      <c r="E664" s="372" t="s">
        <v>354</v>
      </c>
      <c r="F664" s="373"/>
      <c r="G664" s="197">
        <v>7700</v>
      </c>
      <c r="H664" s="197">
        <v>7040</v>
      </c>
      <c r="I664" s="197">
        <v>7040</v>
      </c>
    </row>
    <row r="665" spans="1:9" ht="236.25">
      <c r="A665" s="372" t="s">
        <v>1466</v>
      </c>
      <c r="B665" s="372" t="s">
        <v>60</v>
      </c>
      <c r="C665" s="372" t="s">
        <v>4</v>
      </c>
      <c r="D665" s="372" t="s">
        <v>200</v>
      </c>
      <c r="E665" s="372" t="s">
        <v>355</v>
      </c>
      <c r="F665" s="373"/>
      <c r="G665" s="197">
        <v>7700</v>
      </c>
      <c r="H665" s="197">
        <v>7040</v>
      </c>
      <c r="I665" s="197">
        <v>7040</v>
      </c>
    </row>
    <row r="666" spans="1:9" ht="126">
      <c r="A666" s="372" t="s">
        <v>794</v>
      </c>
      <c r="B666" s="372" t="s">
        <v>60</v>
      </c>
      <c r="C666" s="372" t="s">
        <v>4</v>
      </c>
      <c r="D666" s="372" t="s">
        <v>200</v>
      </c>
      <c r="E666" s="372" t="s">
        <v>357</v>
      </c>
      <c r="F666" s="373"/>
      <c r="G666" s="197">
        <v>70</v>
      </c>
      <c r="H666" s="197">
        <v>70</v>
      </c>
      <c r="I666" s="197">
        <v>70</v>
      </c>
    </row>
    <row r="667" spans="1:9" ht="63">
      <c r="A667" s="372" t="s">
        <v>758</v>
      </c>
      <c r="B667" s="372" t="s">
        <v>60</v>
      </c>
      <c r="C667" s="372" t="s">
        <v>4</v>
      </c>
      <c r="D667" s="372" t="s">
        <v>200</v>
      </c>
      <c r="E667" s="372" t="s">
        <v>357</v>
      </c>
      <c r="F667" s="372" t="s">
        <v>266</v>
      </c>
      <c r="G667" s="197">
        <v>70</v>
      </c>
      <c r="H667" s="197">
        <v>70</v>
      </c>
      <c r="I667" s="197">
        <v>70</v>
      </c>
    </row>
    <row r="668" spans="1:9" ht="78.75">
      <c r="A668" s="372" t="s">
        <v>795</v>
      </c>
      <c r="B668" s="372" t="s">
        <v>60</v>
      </c>
      <c r="C668" s="372" t="s">
        <v>4</v>
      </c>
      <c r="D668" s="372" t="s">
        <v>200</v>
      </c>
      <c r="E668" s="372" t="s">
        <v>358</v>
      </c>
      <c r="F668" s="373"/>
      <c r="G668" s="197">
        <v>40</v>
      </c>
      <c r="H668" s="197">
        <v>40</v>
      </c>
      <c r="I668" s="197">
        <v>40</v>
      </c>
    </row>
    <row r="669" spans="1:9" ht="63">
      <c r="A669" s="372" t="s">
        <v>758</v>
      </c>
      <c r="B669" s="372" t="s">
        <v>60</v>
      </c>
      <c r="C669" s="372" t="s">
        <v>4</v>
      </c>
      <c r="D669" s="372" t="s">
        <v>200</v>
      </c>
      <c r="E669" s="372" t="s">
        <v>358</v>
      </c>
      <c r="F669" s="372" t="s">
        <v>266</v>
      </c>
      <c r="G669" s="197">
        <v>40</v>
      </c>
      <c r="H669" s="197">
        <v>40</v>
      </c>
      <c r="I669" s="197">
        <v>40</v>
      </c>
    </row>
    <row r="670" spans="1:9" ht="63">
      <c r="A670" s="372" t="s">
        <v>796</v>
      </c>
      <c r="B670" s="372" t="s">
        <v>60</v>
      </c>
      <c r="C670" s="372" t="s">
        <v>4</v>
      </c>
      <c r="D670" s="372" t="s">
        <v>200</v>
      </c>
      <c r="E670" s="372" t="s">
        <v>359</v>
      </c>
      <c r="F670" s="373"/>
      <c r="G670" s="197">
        <v>5300</v>
      </c>
      <c r="H670" s="197">
        <v>5300</v>
      </c>
      <c r="I670" s="197">
        <v>5300</v>
      </c>
    </row>
    <row r="671" spans="1:9" ht="63">
      <c r="A671" s="372" t="s">
        <v>758</v>
      </c>
      <c r="B671" s="372" t="s">
        <v>60</v>
      </c>
      <c r="C671" s="372" t="s">
        <v>4</v>
      </c>
      <c r="D671" s="372" t="s">
        <v>200</v>
      </c>
      <c r="E671" s="372" t="s">
        <v>359</v>
      </c>
      <c r="F671" s="372" t="s">
        <v>266</v>
      </c>
      <c r="G671" s="197">
        <v>5300</v>
      </c>
      <c r="H671" s="197">
        <v>5300</v>
      </c>
      <c r="I671" s="197">
        <v>5300</v>
      </c>
    </row>
    <row r="672" spans="1:9" ht="78.75">
      <c r="A672" s="372" t="s">
        <v>798</v>
      </c>
      <c r="B672" s="372" t="s">
        <v>60</v>
      </c>
      <c r="C672" s="372" t="s">
        <v>4</v>
      </c>
      <c r="D672" s="372" t="s">
        <v>200</v>
      </c>
      <c r="E672" s="372" t="s">
        <v>361</v>
      </c>
      <c r="F672" s="373"/>
      <c r="G672" s="197">
        <v>550</v>
      </c>
      <c r="H672" s="197">
        <v>550</v>
      </c>
      <c r="I672" s="197">
        <v>550</v>
      </c>
    </row>
    <row r="673" spans="1:9" ht="63">
      <c r="A673" s="372" t="s">
        <v>758</v>
      </c>
      <c r="B673" s="372" t="s">
        <v>60</v>
      </c>
      <c r="C673" s="372" t="s">
        <v>4</v>
      </c>
      <c r="D673" s="372" t="s">
        <v>200</v>
      </c>
      <c r="E673" s="372" t="s">
        <v>361</v>
      </c>
      <c r="F673" s="372" t="s">
        <v>266</v>
      </c>
      <c r="G673" s="197">
        <v>550</v>
      </c>
      <c r="H673" s="197">
        <v>550</v>
      </c>
      <c r="I673" s="197">
        <v>550</v>
      </c>
    </row>
    <row r="674" spans="1:9" ht="94.5">
      <c r="A674" s="372" t="s">
        <v>799</v>
      </c>
      <c r="B674" s="372" t="s">
        <v>60</v>
      </c>
      <c r="C674" s="372" t="s">
        <v>4</v>
      </c>
      <c r="D674" s="372" t="s">
        <v>200</v>
      </c>
      <c r="E674" s="372" t="s">
        <v>362</v>
      </c>
      <c r="F674" s="373"/>
      <c r="G674" s="197">
        <v>80</v>
      </c>
      <c r="H674" s="197">
        <v>80</v>
      </c>
      <c r="I674" s="197">
        <v>80</v>
      </c>
    </row>
    <row r="675" spans="1:9" ht="63">
      <c r="A675" s="372" t="s">
        <v>758</v>
      </c>
      <c r="B675" s="372" t="s">
        <v>60</v>
      </c>
      <c r="C675" s="372" t="s">
        <v>4</v>
      </c>
      <c r="D675" s="372" t="s">
        <v>200</v>
      </c>
      <c r="E675" s="372" t="s">
        <v>362</v>
      </c>
      <c r="F675" s="372" t="s">
        <v>266</v>
      </c>
      <c r="G675" s="197">
        <v>80</v>
      </c>
      <c r="H675" s="197">
        <v>80</v>
      </c>
      <c r="I675" s="197">
        <v>80</v>
      </c>
    </row>
    <row r="676" spans="1:9" ht="47.25">
      <c r="A676" s="372" t="s">
        <v>800</v>
      </c>
      <c r="B676" s="372" t="s">
        <v>60</v>
      </c>
      <c r="C676" s="372" t="s">
        <v>4</v>
      </c>
      <c r="D676" s="372" t="s">
        <v>200</v>
      </c>
      <c r="E676" s="372" t="s">
        <v>363</v>
      </c>
      <c r="F676" s="373"/>
      <c r="G676" s="197">
        <v>60</v>
      </c>
      <c r="H676" s="197">
        <v>1000</v>
      </c>
      <c r="I676" s="197">
        <v>1000</v>
      </c>
    </row>
    <row r="677" spans="1:9" ht="31.5">
      <c r="A677" s="372" t="s">
        <v>772</v>
      </c>
      <c r="B677" s="372" t="s">
        <v>60</v>
      </c>
      <c r="C677" s="372" t="s">
        <v>4</v>
      </c>
      <c r="D677" s="372" t="s">
        <v>200</v>
      </c>
      <c r="E677" s="372" t="s">
        <v>363</v>
      </c>
      <c r="F677" s="372" t="s">
        <v>267</v>
      </c>
      <c r="G677" s="197">
        <v>60</v>
      </c>
      <c r="H677" s="197">
        <v>1000</v>
      </c>
      <c r="I677" s="197">
        <v>1000</v>
      </c>
    </row>
    <row r="678" spans="1:9" ht="94.5">
      <c r="A678" s="372" t="s">
        <v>1210</v>
      </c>
      <c r="B678" s="372" t="s">
        <v>60</v>
      </c>
      <c r="C678" s="372" t="s">
        <v>4</v>
      </c>
      <c r="D678" s="372" t="s">
        <v>200</v>
      </c>
      <c r="E678" s="372" t="s">
        <v>1204</v>
      </c>
      <c r="F678" s="373"/>
      <c r="G678" s="197">
        <v>200</v>
      </c>
      <c r="H678" s="197">
        <v>0</v>
      </c>
      <c r="I678" s="197">
        <v>0</v>
      </c>
    </row>
    <row r="679" spans="1:9" ht="31.5">
      <c r="A679" s="372" t="s">
        <v>772</v>
      </c>
      <c r="B679" s="372" t="s">
        <v>60</v>
      </c>
      <c r="C679" s="372" t="s">
        <v>4</v>
      </c>
      <c r="D679" s="372" t="s">
        <v>200</v>
      </c>
      <c r="E679" s="372" t="s">
        <v>1204</v>
      </c>
      <c r="F679" s="372" t="s">
        <v>267</v>
      </c>
      <c r="G679" s="197">
        <v>200</v>
      </c>
      <c r="H679" s="197">
        <v>0</v>
      </c>
      <c r="I679" s="197">
        <v>0</v>
      </c>
    </row>
    <row r="680" spans="1:9" ht="31.5">
      <c r="A680" s="372" t="s">
        <v>1234</v>
      </c>
      <c r="B680" s="372" t="s">
        <v>60</v>
      </c>
      <c r="C680" s="372" t="s">
        <v>4</v>
      </c>
      <c r="D680" s="372" t="s">
        <v>200</v>
      </c>
      <c r="E680" s="372" t="s">
        <v>1217</v>
      </c>
      <c r="F680" s="373"/>
      <c r="G680" s="197">
        <v>1400</v>
      </c>
      <c r="H680" s="197">
        <v>0</v>
      </c>
      <c r="I680" s="197">
        <v>0</v>
      </c>
    </row>
    <row r="681" spans="1:9" ht="31.5">
      <c r="A681" s="372" t="s">
        <v>772</v>
      </c>
      <c r="B681" s="372" t="s">
        <v>60</v>
      </c>
      <c r="C681" s="372" t="s">
        <v>4</v>
      </c>
      <c r="D681" s="372" t="s">
        <v>200</v>
      </c>
      <c r="E681" s="372" t="s">
        <v>1217</v>
      </c>
      <c r="F681" s="372" t="s">
        <v>267</v>
      </c>
      <c r="G681" s="197">
        <v>1400</v>
      </c>
      <c r="H681" s="197">
        <v>0</v>
      </c>
      <c r="I681" s="197">
        <v>0</v>
      </c>
    </row>
    <row r="682" spans="1:9" ht="47.25">
      <c r="A682" s="372" t="s">
        <v>1523</v>
      </c>
      <c r="B682" s="372" t="s">
        <v>60</v>
      </c>
      <c r="C682" s="372" t="s">
        <v>4</v>
      </c>
      <c r="D682" s="372" t="s">
        <v>200</v>
      </c>
      <c r="E682" s="372" t="s">
        <v>1506</v>
      </c>
      <c r="F682" s="373"/>
      <c r="G682" s="197">
        <v>42177.1014</v>
      </c>
      <c r="H682" s="197">
        <v>0</v>
      </c>
      <c r="I682" s="197">
        <v>0</v>
      </c>
    </row>
    <row r="683" spans="1:9" ht="63">
      <c r="A683" s="372" t="s">
        <v>1524</v>
      </c>
      <c r="B683" s="372" t="s">
        <v>60</v>
      </c>
      <c r="C683" s="372" t="s">
        <v>4</v>
      </c>
      <c r="D683" s="372" t="s">
        <v>200</v>
      </c>
      <c r="E683" s="372" t="s">
        <v>1508</v>
      </c>
      <c r="F683" s="373"/>
      <c r="G683" s="197">
        <v>42177.1014</v>
      </c>
      <c r="H683" s="197">
        <v>0</v>
      </c>
      <c r="I683" s="197">
        <v>0</v>
      </c>
    </row>
    <row r="684" spans="1:9" ht="220.5">
      <c r="A684" s="372" t="s">
        <v>1525</v>
      </c>
      <c r="B684" s="372" t="s">
        <v>60</v>
      </c>
      <c r="C684" s="372" t="s">
        <v>4</v>
      </c>
      <c r="D684" s="372" t="s">
        <v>200</v>
      </c>
      <c r="E684" s="372" t="s">
        <v>1510</v>
      </c>
      <c r="F684" s="373"/>
      <c r="G684" s="197">
        <v>41337.775999999998</v>
      </c>
      <c r="H684" s="197">
        <v>0</v>
      </c>
      <c r="I684" s="197">
        <v>0</v>
      </c>
    </row>
    <row r="685" spans="1:9" ht="47.25">
      <c r="A685" s="372" t="s">
        <v>810</v>
      </c>
      <c r="B685" s="372" t="s">
        <v>60</v>
      </c>
      <c r="C685" s="372" t="s">
        <v>4</v>
      </c>
      <c r="D685" s="372" t="s">
        <v>200</v>
      </c>
      <c r="E685" s="372" t="s">
        <v>1510</v>
      </c>
      <c r="F685" s="372" t="s">
        <v>270</v>
      </c>
      <c r="G685" s="197">
        <v>26171.66459</v>
      </c>
      <c r="H685" s="197">
        <v>0</v>
      </c>
      <c r="I685" s="197">
        <v>0</v>
      </c>
    </row>
    <row r="686" spans="1:9" ht="31.5">
      <c r="A686" s="372" t="s">
        <v>772</v>
      </c>
      <c r="B686" s="372" t="s">
        <v>60</v>
      </c>
      <c r="C686" s="372" t="s">
        <v>4</v>
      </c>
      <c r="D686" s="372" t="s">
        <v>200</v>
      </c>
      <c r="E686" s="372" t="s">
        <v>1510</v>
      </c>
      <c r="F686" s="372" t="s">
        <v>267</v>
      </c>
      <c r="G686" s="197">
        <v>15166.11141</v>
      </c>
      <c r="H686" s="197">
        <v>0</v>
      </c>
      <c r="I686" s="197">
        <v>0</v>
      </c>
    </row>
    <row r="687" spans="1:9" ht="157.5">
      <c r="A687" s="372" t="s">
        <v>1526</v>
      </c>
      <c r="B687" s="372" t="s">
        <v>60</v>
      </c>
      <c r="C687" s="372" t="s">
        <v>4</v>
      </c>
      <c r="D687" s="372" t="s">
        <v>200</v>
      </c>
      <c r="E687" s="372" t="s">
        <v>1512</v>
      </c>
      <c r="F687" s="373"/>
      <c r="G687" s="197">
        <v>839.32539999999995</v>
      </c>
      <c r="H687" s="197">
        <v>0</v>
      </c>
      <c r="I687" s="197">
        <v>0</v>
      </c>
    </row>
    <row r="688" spans="1:9" ht="47.25">
      <c r="A688" s="372" t="s">
        <v>810</v>
      </c>
      <c r="B688" s="372" t="s">
        <v>60</v>
      </c>
      <c r="C688" s="372" t="s">
        <v>4</v>
      </c>
      <c r="D688" s="372" t="s">
        <v>200</v>
      </c>
      <c r="E688" s="372" t="s">
        <v>1512</v>
      </c>
      <c r="F688" s="372" t="s">
        <v>270</v>
      </c>
      <c r="G688" s="197">
        <v>531.39151000000004</v>
      </c>
      <c r="H688" s="197">
        <v>0</v>
      </c>
      <c r="I688" s="197">
        <v>0</v>
      </c>
    </row>
    <row r="689" spans="1:9" ht="31.5">
      <c r="A689" s="372" t="s">
        <v>772</v>
      </c>
      <c r="B689" s="372" t="s">
        <v>60</v>
      </c>
      <c r="C689" s="372" t="s">
        <v>4</v>
      </c>
      <c r="D689" s="372" t="s">
        <v>200</v>
      </c>
      <c r="E689" s="372" t="s">
        <v>1512</v>
      </c>
      <c r="F689" s="372" t="s">
        <v>267</v>
      </c>
      <c r="G689" s="197">
        <v>307.93389000000002</v>
      </c>
      <c r="H689" s="197">
        <v>0</v>
      </c>
      <c r="I689" s="197">
        <v>0</v>
      </c>
    </row>
    <row r="690" spans="1:9" ht="63">
      <c r="A690" s="372" t="s">
        <v>524</v>
      </c>
      <c r="B690" s="372" t="s">
        <v>60</v>
      </c>
      <c r="C690" s="372" t="s">
        <v>4</v>
      </c>
      <c r="D690" s="372" t="s">
        <v>200</v>
      </c>
      <c r="E690" s="372" t="s">
        <v>444</v>
      </c>
      <c r="F690" s="373"/>
      <c r="G690" s="197">
        <v>5114.2435699999996</v>
      </c>
      <c r="H690" s="197">
        <v>0</v>
      </c>
      <c r="I690" s="197">
        <v>0</v>
      </c>
    </row>
    <row r="691" spans="1:9" ht="31.5">
      <c r="A691" s="372" t="s">
        <v>509</v>
      </c>
      <c r="B691" s="372" t="s">
        <v>60</v>
      </c>
      <c r="C691" s="372" t="s">
        <v>4</v>
      </c>
      <c r="D691" s="372" t="s">
        <v>200</v>
      </c>
      <c r="E691" s="372" t="s">
        <v>445</v>
      </c>
      <c r="F691" s="373"/>
      <c r="G691" s="197">
        <v>5114.2435699999996</v>
      </c>
      <c r="H691" s="197">
        <v>0</v>
      </c>
      <c r="I691" s="197">
        <v>0</v>
      </c>
    </row>
    <row r="692" spans="1:9" ht="31.5">
      <c r="A692" s="372" t="s">
        <v>1441</v>
      </c>
      <c r="B692" s="372" t="s">
        <v>60</v>
      </c>
      <c r="C692" s="372" t="s">
        <v>4</v>
      </c>
      <c r="D692" s="372" t="s">
        <v>200</v>
      </c>
      <c r="E692" s="372" t="s">
        <v>445</v>
      </c>
      <c r="F692" s="373"/>
      <c r="G692" s="197">
        <v>5114.2435699999996</v>
      </c>
      <c r="H692" s="197">
        <v>0</v>
      </c>
      <c r="I692" s="197">
        <v>0</v>
      </c>
    </row>
    <row r="693" spans="1:9" ht="31.5">
      <c r="A693" s="372" t="s">
        <v>1186</v>
      </c>
      <c r="B693" s="372" t="s">
        <v>60</v>
      </c>
      <c r="C693" s="372" t="s">
        <v>4</v>
      </c>
      <c r="D693" s="372" t="s">
        <v>200</v>
      </c>
      <c r="E693" s="372" t="s">
        <v>1181</v>
      </c>
      <c r="F693" s="373"/>
      <c r="G693" s="197">
        <v>5114.2435699999996</v>
      </c>
      <c r="H693" s="197">
        <v>0</v>
      </c>
      <c r="I693" s="197">
        <v>0</v>
      </c>
    </row>
    <row r="694" spans="1:9" ht="63">
      <c r="A694" s="372" t="s">
        <v>758</v>
      </c>
      <c r="B694" s="372" t="s">
        <v>60</v>
      </c>
      <c r="C694" s="372" t="s">
        <v>4</v>
      </c>
      <c r="D694" s="372" t="s">
        <v>200</v>
      </c>
      <c r="E694" s="372" t="s">
        <v>1181</v>
      </c>
      <c r="F694" s="372" t="s">
        <v>266</v>
      </c>
      <c r="G694" s="197">
        <v>5114.2435699999996</v>
      </c>
      <c r="H694" s="197">
        <v>0</v>
      </c>
      <c r="I694" s="197">
        <v>0</v>
      </c>
    </row>
    <row r="695" spans="1:9" ht="15.75">
      <c r="A695" s="372" t="s">
        <v>1188</v>
      </c>
      <c r="B695" s="372" t="s">
        <v>60</v>
      </c>
      <c r="C695" s="372" t="s">
        <v>4</v>
      </c>
      <c r="D695" s="372" t="s">
        <v>198</v>
      </c>
      <c r="E695" s="373"/>
      <c r="F695" s="373"/>
      <c r="G695" s="197">
        <v>30</v>
      </c>
      <c r="H695" s="197">
        <v>0</v>
      </c>
      <c r="I695" s="197">
        <v>0</v>
      </c>
    </row>
    <row r="696" spans="1:9" ht="110.25">
      <c r="A696" s="372" t="s">
        <v>500</v>
      </c>
      <c r="B696" s="372" t="s">
        <v>60</v>
      </c>
      <c r="C696" s="372" t="s">
        <v>4</v>
      </c>
      <c r="D696" s="372" t="s">
        <v>198</v>
      </c>
      <c r="E696" s="372" t="s">
        <v>353</v>
      </c>
      <c r="F696" s="373"/>
      <c r="G696" s="197">
        <v>30</v>
      </c>
      <c r="H696" s="197">
        <v>0</v>
      </c>
      <c r="I696" s="197">
        <v>0</v>
      </c>
    </row>
    <row r="697" spans="1:9" ht="31.5">
      <c r="A697" s="372" t="s">
        <v>529</v>
      </c>
      <c r="B697" s="372" t="s">
        <v>60</v>
      </c>
      <c r="C697" s="372" t="s">
        <v>4</v>
      </c>
      <c r="D697" s="372" t="s">
        <v>198</v>
      </c>
      <c r="E697" s="372" t="s">
        <v>454</v>
      </c>
      <c r="F697" s="373"/>
      <c r="G697" s="197">
        <v>30</v>
      </c>
      <c r="H697" s="197">
        <v>0</v>
      </c>
      <c r="I697" s="197">
        <v>0</v>
      </c>
    </row>
    <row r="698" spans="1:9" ht="47.25">
      <c r="A698" s="372" t="s">
        <v>1133</v>
      </c>
      <c r="B698" s="372" t="s">
        <v>60</v>
      </c>
      <c r="C698" s="372" t="s">
        <v>4</v>
      </c>
      <c r="D698" s="372" t="s">
        <v>198</v>
      </c>
      <c r="E698" s="372" t="s">
        <v>455</v>
      </c>
      <c r="F698" s="373"/>
      <c r="G698" s="197">
        <v>30</v>
      </c>
      <c r="H698" s="197">
        <v>0</v>
      </c>
      <c r="I698" s="197">
        <v>0</v>
      </c>
    </row>
    <row r="699" spans="1:9" ht="47.25">
      <c r="A699" s="372" t="s">
        <v>1235</v>
      </c>
      <c r="B699" s="372" t="s">
        <v>60</v>
      </c>
      <c r="C699" s="372" t="s">
        <v>4</v>
      </c>
      <c r="D699" s="372" t="s">
        <v>198</v>
      </c>
      <c r="E699" s="372" t="s">
        <v>1219</v>
      </c>
      <c r="F699" s="373"/>
      <c r="G699" s="197">
        <v>30</v>
      </c>
      <c r="H699" s="197">
        <v>0</v>
      </c>
      <c r="I699" s="197">
        <v>0</v>
      </c>
    </row>
    <row r="700" spans="1:9" ht="63">
      <c r="A700" s="372" t="s">
        <v>758</v>
      </c>
      <c r="B700" s="372" t="s">
        <v>60</v>
      </c>
      <c r="C700" s="372" t="s">
        <v>4</v>
      </c>
      <c r="D700" s="372" t="s">
        <v>198</v>
      </c>
      <c r="E700" s="372" t="s">
        <v>1219</v>
      </c>
      <c r="F700" s="372" t="s">
        <v>266</v>
      </c>
      <c r="G700" s="197">
        <v>30</v>
      </c>
      <c r="H700" s="197">
        <v>0</v>
      </c>
      <c r="I700" s="197">
        <v>0</v>
      </c>
    </row>
    <row r="701" spans="1:9" ht="47.25">
      <c r="A701" s="372" t="s">
        <v>513</v>
      </c>
      <c r="B701" s="372" t="s">
        <v>60</v>
      </c>
      <c r="C701" s="372" t="s">
        <v>4</v>
      </c>
      <c r="D701" s="372" t="s">
        <v>4</v>
      </c>
      <c r="E701" s="373"/>
      <c r="F701" s="373"/>
      <c r="G701" s="197">
        <v>20.399999999999999</v>
      </c>
      <c r="H701" s="197">
        <v>20.399999999999999</v>
      </c>
      <c r="I701" s="197">
        <v>20.399999999999999</v>
      </c>
    </row>
    <row r="702" spans="1:9" ht="63">
      <c r="A702" s="372" t="s">
        <v>503</v>
      </c>
      <c r="B702" s="372" t="s">
        <v>60</v>
      </c>
      <c r="C702" s="372" t="s">
        <v>4</v>
      </c>
      <c r="D702" s="372" t="s">
        <v>4</v>
      </c>
      <c r="E702" s="372" t="s">
        <v>386</v>
      </c>
      <c r="F702" s="373"/>
      <c r="G702" s="197">
        <v>20.399999999999999</v>
      </c>
      <c r="H702" s="197">
        <v>20.399999999999999</v>
      </c>
      <c r="I702" s="197">
        <v>20.399999999999999</v>
      </c>
    </row>
    <row r="703" spans="1:9" ht="47.25">
      <c r="A703" s="372" t="s">
        <v>504</v>
      </c>
      <c r="B703" s="372" t="s">
        <v>60</v>
      </c>
      <c r="C703" s="372" t="s">
        <v>4</v>
      </c>
      <c r="D703" s="372" t="s">
        <v>4</v>
      </c>
      <c r="E703" s="372" t="s">
        <v>387</v>
      </c>
      <c r="F703" s="373"/>
      <c r="G703" s="197">
        <v>20.399999999999999</v>
      </c>
      <c r="H703" s="197">
        <v>20.399999999999999</v>
      </c>
      <c r="I703" s="197">
        <v>20.399999999999999</v>
      </c>
    </row>
    <row r="704" spans="1:9" ht="94.5">
      <c r="A704" s="372" t="s">
        <v>1136</v>
      </c>
      <c r="B704" s="372" t="s">
        <v>60</v>
      </c>
      <c r="C704" s="372" t="s">
        <v>4</v>
      </c>
      <c r="D704" s="372" t="s">
        <v>4</v>
      </c>
      <c r="E704" s="372" t="s">
        <v>1051</v>
      </c>
      <c r="F704" s="373"/>
      <c r="G704" s="197">
        <v>20.399999999999999</v>
      </c>
      <c r="H704" s="197">
        <v>20.399999999999999</v>
      </c>
      <c r="I704" s="197">
        <v>20.399999999999999</v>
      </c>
    </row>
    <row r="705" spans="1:9" ht="173.25">
      <c r="A705" s="372" t="s">
        <v>807</v>
      </c>
      <c r="B705" s="372" t="s">
        <v>60</v>
      </c>
      <c r="C705" s="372" t="s">
        <v>4</v>
      </c>
      <c r="D705" s="372" t="s">
        <v>4</v>
      </c>
      <c r="E705" s="372" t="s">
        <v>1054</v>
      </c>
      <c r="F705" s="373"/>
      <c r="G705" s="197">
        <v>20.399999999999999</v>
      </c>
      <c r="H705" s="197">
        <v>20.399999999999999</v>
      </c>
      <c r="I705" s="197">
        <v>20.399999999999999</v>
      </c>
    </row>
    <row r="706" spans="1:9" ht="31.5">
      <c r="A706" s="372" t="s">
        <v>772</v>
      </c>
      <c r="B706" s="372" t="s">
        <v>60</v>
      </c>
      <c r="C706" s="372" t="s">
        <v>4</v>
      </c>
      <c r="D706" s="372" t="s">
        <v>4</v>
      </c>
      <c r="E706" s="372" t="s">
        <v>1054</v>
      </c>
      <c r="F706" s="372" t="s">
        <v>267</v>
      </c>
      <c r="G706" s="197">
        <v>20.399999999999999</v>
      </c>
      <c r="H706" s="197">
        <v>20.399999999999999</v>
      </c>
      <c r="I706" s="197">
        <v>20.399999999999999</v>
      </c>
    </row>
    <row r="707" spans="1:9" ht="31.5">
      <c r="A707" s="372" t="s">
        <v>1236</v>
      </c>
      <c r="B707" s="372" t="s">
        <v>60</v>
      </c>
      <c r="C707" s="372" t="s">
        <v>204</v>
      </c>
      <c r="D707" s="373"/>
      <c r="E707" s="373"/>
      <c r="F707" s="373"/>
      <c r="G707" s="197">
        <v>1233.41167</v>
      </c>
      <c r="H707" s="197">
        <v>2000</v>
      </c>
      <c r="I707" s="197">
        <v>0</v>
      </c>
    </row>
    <row r="708" spans="1:9" ht="31.5">
      <c r="A708" s="372" t="s">
        <v>1237</v>
      </c>
      <c r="B708" s="372" t="s">
        <v>60</v>
      </c>
      <c r="C708" s="372" t="s">
        <v>204</v>
      </c>
      <c r="D708" s="372" t="s">
        <v>4</v>
      </c>
      <c r="E708" s="373"/>
      <c r="F708" s="373"/>
      <c r="G708" s="197">
        <v>1233.41167</v>
      </c>
      <c r="H708" s="197">
        <v>2000</v>
      </c>
      <c r="I708" s="197">
        <v>0</v>
      </c>
    </row>
    <row r="709" spans="1:9" ht="47.25">
      <c r="A709" s="372" t="s">
        <v>1238</v>
      </c>
      <c r="B709" s="372" t="s">
        <v>60</v>
      </c>
      <c r="C709" s="372" t="s">
        <v>204</v>
      </c>
      <c r="D709" s="372" t="s">
        <v>4</v>
      </c>
      <c r="E709" s="372" t="s">
        <v>1221</v>
      </c>
      <c r="F709" s="373"/>
      <c r="G709" s="197">
        <v>1233.41167</v>
      </c>
      <c r="H709" s="197">
        <v>2000</v>
      </c>
      <c r="I709" s="197">
        <v>0</v>
      </c>
    </row>
    <row r="710" spans="1:9" ht="47.25">
      <c r="A710" s="372" t="s">
        <v>1445</v>
      </c>
      <c r="B710" s="372" t="s">
        <v>60</v>
      </c>
      <c r="C710" s="372" t="s">
        <v>204</v>
      </c>
      <c r="D710" s="372" t="s">
        <v>4</v>
      </c>
      <c r="E710" s="372" t="s">
        <v>1221</v>
      </c>
      <c r="F710" s="373"/>
      <c r="G710" s="197">
        <v>1233.41167</v>
      </c>
      <c r="H710" s="197">
        <v>2000</v>
      </c>
      <c r="I710" s="197">
        <v>0</v>
      </c>
    </row>
    <row r="711" spans="1:9" ht="47.25">
      <c r="A711" s="372" t="s">
        <v>1527</v>
      </c>
      <c r="B711" s="372" t="s">
        <v>60</v>
      </c>
      <c r="C711" s="372" t="s">
        <v>204</v>
      </c>
      <c r="D711" s="372" t="s">
        <v>4</v>
      </c>
      <c r="E711" s="372" t="s">
        <v>1514</v>
      </c>
      <c r="F711" s="373"/>
      <c r="G711" s="197">
        <v>1000</v>
      </c>
      <c r="H711" s="197">
        <v>2000</v>
      </c>
      <c r="I711" s="197">
        <v>0</v>
      </c>
    </row>
    <row r="712" spans="1:9" ht="63">
      <c r="A712" s="372" t="s">
        <v>1528</v>
      </c>
      <c r="B712" s="372" t="s">
        <v>60</v>
      </c>
      <c r="C712" s="372" t="s">
        <v>204</v>
      </c>
      <c r="D712" s="372" t="s">
        <v>4</v>
      </c>
      <c r="E712" s="372" t="s">
        <v>1516</v>
      </c>
      <c r="F712" s="373"/>
      <c r="G712" s="197">
        <v>1000</v>
      </c>
      <c r="H712" s="197">
        <v>2000</v>
      </c>
      <c r="I712" s="197">
        <v>0</v>
      </c>
    </row>
    <row r="713" spans="1:9" ht="63">
      <c r="A713" s="372" t="s">
        <v>758</v>
      </c>
      <c r="B713" s="372" t="s">
        <v>60</v>
      </c>
      <c r="C713" s="372" t="s">
        <v>204</v>
      </c>
      <c r="D713" s="372" t="s">
        <v>4</v>
      </c>
      <c r="E713" s="372" t="s">
        <v>1516</v>
      </c>
      <c r="F713" s="372" t="s">
        <v>266</v>
      </c>
      <c r="G713" s="197">
        <v>1000</v>
      </c>
      <c r="H713" s="197">
        <v>2000</v>
      </c>
      <c r="I713" s="197">
        <v>0</v>
      </c>
    </row>
    <row r="714" spans="1:9" ht="94.5">
      <c r="A714" s="372" t="s">
        <v>1239</v>
      </c>
      <c r="B714" s="372" t="s">
        <v>60</v>
      </c>
      <c r="C714" s="372" t="s">
        <v>204</v>
      </c>
      <c r="D714" s="372" t="s">
        <v>4</v>
      </c>
      <c r="E714" s="372" t="s">
        <v>1223</v>
      </c>
      <c r="F714" s="373"/>
      <c r="G714" s="197">
        <v>233.41166999999999</v>
      </c>
      <c r="H714" s="197">
        <v>0</v>
      </c>
      <c r="I714" s="197">
        <v>0</v>
      </c>
    </row>
    <row r="715" spans="1:9" ht="63">
      <c r="A715" s="372" t="s">
        <v>1240</v>
      </c>
      <c r="B715" s="372" t="s">
        <v>60</v>
      </c>
      <c r="C715" s="372" t="s">
        <v>204</v>
      </c>
      <c r="D715" s="372" t="s">
        <v>4</v>
      </c>
      <c r="E715" s="372" t="s">
        <v>1226</v>
      </c>
      <c r="F715" s="373"/>
      <c r="G715" s="197">
        <v>233.41166999999999</v>
      </c>
      <c r="H715" s="197">
        <v>0</v>
      </c>
      <c r="I715" s="197">
        <v>0</v>
      </c>
    </row>
    <row r="716" spans="1:9" ht="63">
      <c r="A716" s="372" t="s">
        <v>758</v>
      </c>
      <c r="B716" s="372" t="s">
        <v>60</v>
      </c>
      <c r="C716" s="372" t="s">
        <v>204</v>
      </c>
      <c r="D716" s="372" t="s">
        <v>4</v>
      </c>
      <c r="E716" s="372" t="s">
        <v>1226</v>
      </c>
      <c r="F716" s="372" t="s">
        <v>266</v>
      </c>
      <c r="G716" s="197">
        <v>233.41166999999999</v>
      </c>
      <c r="H716" s="197">
        <v>0</v>
      </c>
      <c r="I716" s="197">
        <v>0</v>
      </c>
    </row>
    <row r="717" spans="1:9" ht="15.75">
      <c r="A717" s="372" t="s">
        <v>475</v>
      </c>
      <c r="B717" s="372" t="s">
        <v>60</v>
      </c>
      <c r="C717" s="372" t="s">
        <v>197</v>
      </c>
      <c r="D717" s="373"/>
      <c r="E717" s="373"/>
      <c r="F717" s="373"/>
      <c r="G717" s="197">
        <v>9560.5911599999999</v>
      </c>
      <c r="H717" s="197">
        <v>8003.9930000000004</v>
      </c>
      <c r="I717" s="197">
        <v>7404.0959999999995</v>
      </c>
    </row>
    <row r="718" spans="1:9" ht="15.75">
      <c r="A718" s="372" t="s">
        <v>491</v>
      </c>
      <c r="B718" s="372" t="s">
        <v>60</v>
      </c>
      <c r="C718" s="372" t="s">
        <v>197</v>
      </c>
      <c r="D718" s="372" t="s">
        <v>197</v>
      </c>
      <c r="E718" s="373"/>
      <c r="F718" s="373"/>
      <c r="G718" s="197">
        <v>9553.3911599999992</v>
      </c>
      <c r="H718" s="197">
        <v>8003.9930000000004</v>
      </c>
      <c r="I718" s="197">
        <v>7404.0959999999995</v>
      </c>
    </row>
    <row r="719" spans="1:9" ht="78.75">
      <c r="A719" s="372" t="s">
        <v>1119</v>
      </c>
      <c r="B719" s="372" t="s">
        <v>60</v>
      </c>
      <c r="C719" s="372" t="s">
        <v>197</v>
      </c>
      <c r="D719" s="372" t="s">
        <v>197</v>
      </c>
      <c r="E719" s="372" t="s">
        <v>345</v>
      </c>
      <c r="F719" s="373"/>
      <c r="G719" s="197">
        <v>9553.3911599999992</v>
      </c>
      <c r="H719" s="197">
        <v>8003.9930000000004</v>
      </c>
      <c r="I719" s="197">
        <v>7404.0959999999995</v>
      </c>
    </row>
    <row r="720" spans="1:9" ht="63">
      <c r="A720" s="372" t="s">
        <v>1121</v>
      </c>
      <c r="B720" s="372" t="s">
        <v>60</v>
      </c>
      <c r="C720" s="372" t="s">
        <v>197</v>
      </c>
      <c r="D720" s="372" t="s">
        <v>197</v>
      </c>
      <c r="E720" s="372" t="s">
        <v>346</v>
      </c>
      <c r="F720" s="373"/>
      <c r="G720" s="197">
        <v>1399.76</v>
      </c>
      <c r="H720" s="197">
        <v>599.89700000000005</v>
      </c>
      <c r="I720" s="197">
        <v>0</v>
      </c>
    </row>
    <row r="721" spans="1:9" ht="63">
      <c r="A721" s="372" t="s">
        <v>1481</v>
      </c>
      <c r="B721" s="372" t="s">
        <v>60</v>
      </c>
      <c r="C721" s="372" t="s">
        <v>197</v>
      </c>
      <c r="D721" s="372" t="s">
        <v>197</v>
      </c>
      <c r="E721" s="372" t="s">
        <v>1408</v>
      </c>
      <c r="F721" s="373"/>
      <c r="G721" s="197">
        <v>1399.76</v>
      </c>
      <c r="H721" s="197">
        <v>599.89700000000005</v>
      </c>
      <c r="I721" s="197">
        <v>0</v>
      </c>
    </row>
    <row r="722" spans="1:9" ht="47.25">
      <c r="A722" s="372" t="s">
        <v>1415</v>
      </c>
      <c r="B722" s="372" t="s">
        <v>60</v>
      </c>
      <c r="C722" s="372" t="s">
        <v>197</v>
      </c>
      <c r="D722" s="372" t="s">
        <v>197</v>
      </c>
      <c r="E722" s="372" t="s">
        <v>1410</v>
      </c>
      <c r="F722" s="373"/>
      <c r="G722" s="197">
        <v>1399.76</v>
      </c>
      <c r="H722" s="197">
        <v>599.89700000000005</v>
      </c>
      <c r="I722" s="197">
        <v>0</v>
      </c>
    </row>
    <row r="723" spans="1:9" ht="63">
      <c r="A723" s="372" t="s">
        <v>755</v>
      </c>
      <c r="B723" s="372" t="s">
        <v>60</v>
      </c>
      <c r="C723" s="372" t="s">
        <v>197</v>
      </c>
      <c r="D723" s="372" t="s">
        <v>197</v>
      </c>
      <c r="E723" s="372" t="s">
        <v>1410</v>
      </c>
      <c r="F723" s="372" t="s">
        <v>268</v>
      </c>
      <c r="G723" s="197">
        <v>1399.76</v>
      </c>
      <c r="H723" s="197">
        <v>599.89700000000005</v>
      </c>
      <c r="I723" s="197">
        <v>0</v>
      </c>
    </row>
    <row r="724" spans="1:9" ht="31.5">
      <c r="A724" s="372" t="s">
        <v>479</v>
      </c>
      <c r="B724" s="372" t="s">
        <v>60</v>
      </c>
      <c r="C724" s="372" t="s">
        <v>197</v>
      </c>
      <c r="D724" s="372" t="s">
        <v>197</v>
      </c>
      <c r="E724" s="372" t="s">
        <v>348</v>
      </c>
      <c r="F724" s="373"/>
      <c r="G724" s="197">
        <v>6720.1053199999997</v>
      </c>
      <c r="H724" s="197">
        <v>6204.0959999999995</v>
      </c>
      <c r="I724" s="197">
        <v>6204.0959999999995</v>
      </c>
    </row>
    <row r="725" spans="1:9" ht="31.5">
      <c r="A725" s="372" t="s">
        <v>762</v>
      </c>
      <c r="B725" s="372" t="s">
        <v>60</v>
      </c>
      <c r="C725" s="372" t="s">
        <v>197</v>
      </c>
      <c r="D725" s="372" t="s">
        <v>197</v>
      </c>
      <c r="E725" s="372" t="s">
        <v>1007</v>
      </c>
      <c r="F725" s="373"/>
      <c r="G725" s="197">
        <v>6720.1053199999997</v>
      </c>
      <c r="H725" s="197">
        <v>6204.0959999999995</v>
      </c>
      <c r="I725" s="197">
        <v>6204.0959999999995</v>
      </c>
    </row>
    <row r="726" spans="1:9" ht="47.25">
      <c r="A726" s="372" t="s">
        <v>880</v>
      </c>
      <c r="B726" s="372" t="s">
        <v>60</v>
      </c>
      <c r="C726" s="372" t="s">
        <v>197</v>
      </c>
      <c r="D726" s="372" t="s">
        <v>197</v>
      </c>
      <c r="E726" s="372" t="s">
        <v>1008</v>
      </c>
      <c r="F726" s="373"/>
      <c r="G726" s="197">
        <v>595.73800000000006</v>
      </c>
      <c r="H726" s="197">
        <v>595.73800000000006</v>
      </c>
      <c r="I726" s="197">
        <v>595.73800000000006</v>
      </c>
    </row>
    <row r="727" spans="1:9" ht="63">
      <c r="A727" s="372" t="s">
        <v>755</v>
      </c>
      <c r="B727" s="372" t="s">
        <v>60</v>
      </c>
      <c r="C727" s="372" t="s">
        <v>197</v>
      </c>
      <c r="D727" s="372" t="s">
        <v>197</v>
      </c>
      <c r="E727" s="372" t="s">
        <v>1008</v>
      </c>
      <c r="F727" s="372" t="s">
        <v>268</v>
      </c>
      <c r="G727" s="197">
        <v>595.73800000000006</v>
      </c>
      <c r="H727" s="197">
        <v>595.73800000000006</v>
      </c>
      <c r="I727" s="197">
        <v>595.73800000000006</v>
      </c>
    </row>
    <row r="728" spans="1:9" ht="78.75">
      <c r="A728" s="372" t="s">
        <v>1144</v>
      </c>
      <c r="B728" s="372" t="s">
        <v>60</v>
      </c>
      <c r="C728" s="372" t="s">
        <v>197</v>
      </c>
      <c r="D728" s="372" t="s">
        <v>197</v>
      </c>
      <c r="E728" s="372" t="s">
        <v>1010</v>
      </c>
      <c r="F728" s="373"/>
      <c r="G728" s="197">
        <v>5011.87</v>
      </c>
      <c r="H728" s="197">
        <v>4503.9080000000004</v>
      </c>
      <c r="I728" s="197">
        <v>4503.9080000000004</v>
      </c>
    </row>
    <row r="729" spans="1:9" ht="63">
      <c r="A729" s="372" t="s">
        <v>755</v>
      </c>
      <c r="B729" s="372" t="s">
        <v>60</v>
      </c>
      <c r="C729" s="372" t="s">
        <v>197</v>
      </c>
      <c r="D729" s="372" t="s">
        <v>197</v>
      </c>
      <c r="E729" s="372" t="s">
        <v>1010</v>
      </c>
      <c r="F729" s="372" t="s">
        <v>268</v>
      </c>
      <c r="G729" s="197">
        <v>5011.87</v>
      </c>
      <c r="H729" s="197">
        <v>4503.9080000000004</v>
      </c>
      <c r="I729" s="197">
        <v>4503.9080000000004</v>
      </c>
    </row>
    <row r="730" spans="1:9" ht="63">
      <c r="A730" s="372" t="s">
        <v>1185</v>
      </c>
      <c r="B730" s="372" t="s">
        <v>60</v>
      </c>
      <c r="C730" s="372" t="s">
        <v>197</v>
      </c>
      <c r="D730" s="372" t="s">
        <v>197</v>
      </c>
      <c r="E730" s="372" t="s">
        <v>1264</v>
      </c>
      <c r="F730" s="373"/>
      <c r="G730" s="197">
        <v>790</v>
      </c>
      <c r="H730" s="197">
        <v>0</v>
      </c>
      <c r="I730" s="197">
        <v>0</v>
      </c>
    </row>
    <row r="731" spans="1:9" ht="63">
      <c r="A731" s="372" t="s">
        <v>755</v>
      </c>
      <c r="B731" s="372" t="s">
        <v>60</v>
      </c>
      <c r="C731" s="372" t="s">
        <v>197</v>
      </c>
      <c r="D731" s="372" t="s">
        <v>197</v>
      </c>
      <c r="E731" s="372" t="s">
        <v>1264</v>
      </c>
      <c r="F731" s="372" t="s">
        <v>268</v>
      </c>
      <c r="G731" s="197">
        <v>790</v>
      </c>
      <c r="H731" s="197">
        <v>0</v>
      </c>
      <c r="I731" s="197">
        <v>0</v>
      </c>
    </row>
    <row r="732" spans="1:9" ht="78.75">
      <c r="A732" s="372" t="s">
        <v>1374</v>
      </c>
      <c r="B732" s="372" t="s">
        <v>60</v>
      </c>
      <c r="C732" s="372" t="s">
        <v>197</v>
      </c>
      <c r="D732" s="372" t="s">
        <v>197</v>
      </c>
      <c r="E732" s="372" t="s">
        <v>1359</v>
      </c>
      <c r="F732" s="373"/>
      <c r="G732" s="197">
        <v>110</v>
      </c>
      <c r="H732" s="197">
        <v>0</v>
      </c>
      <c r="I732" s="197">
        <v>0</v>
      </c>
    </row>
    <row r="733" spans="1:9" ht="63">
      <c r="A733" s="372" t="s">
        <v>755</v>
      </c>
      <c r="B733" s="372" t="s">
        <v>60</v>
      </c>
      <c r="C733" s="372" t="s">
        <v>197</v>
      </c>
      <c r="D733" s="372" t="s">
        <v>197</v>
      </c>
      <c r="E733" s="372" t="s">
        <v>1359</v>
      </c>
      <c r="F733" s="372" t="s">
        <v>268</v>
      </c>
      <c r="G733" s="197">
        <v>110</v>
      </c>
      <c r="H733" s="197">
        <v>0</v>
      </c>
      <c r="I733" s="197">
        <v>0</v>
      </c>
    </row>
    <row r="734" spans="1:9" ht="31.5">
      <c r="A734" s="372" t="s">
        <v>830</v>
      </c>
      <c r="B734" s="372" t="s">
        <v>60</v>
      </c>
      <c r="C734" s="372" t="s">
        <v>197</v>
      </c>
      <c r="D734" s="372" t="s">
        <v>197</v>
      </c>
      <c r="E734" s="372" t="s">
        <v>1011</v>
      </c>
      <c r="F734" s="373"/>
      <c r="G734" s="197">
        <v>176.5</v>
      </c>
      <c r="H734" s="197">
        <v>158.5</v>
      </c>
      <c r="I734" s="197">
        <v>158.5</v>
      </c>
    </row>
    <row r="735" spans="1:9" ht="63">
      <c r="A735" s="372" t="s">
        <v>755</v>
      </c>
      <c r="B735" s="372" t="s">
        <v>60</v>
      </c>
      <c r="C735" s="372" t="s">
        <v>197</v>
      </c>
      <c r="D735" s="372" t="s">
        <v>197</v>
      </c>
      <c r="E735" s="372" t="s">
        <v>1011</v>
      </c>
      <c r="F735" s="372" t="s">
        <v>268</v>
      </c>
      <c r="G735" s="197">
        <v>176.5</v>
      </c>
      <c r="H735" s="197">
        <v>158.5</v>
      </c>
      <c r="I735" s="197">
        <v>158.5</v>
      </c>
    </row>
    <row r="736" spans="1:9" ht="63">
      <c r="A736" s="372" t="s">
        <v>919</v>
      </c>
      <c r="B736" s="372" t="s">
        <v>60</v>
      </c>
      <c r="C736" s="372" t="s">
        <v>197</v>
      </c>
      <c r="D736" s="372" t="s">
        <v>197</v>
      </c>
      <c r="E736" s="372" t="s">
        <v>1013</v>
      </c>
      <c r="F736" s="373"/>
      <c r="G736" s="197">
        <v>35.997320000000002</v>
      </c>
      <c r="H736" s="197">
        <v>945.95</v>
      </c>
      <c r="I736" s="197">
        <v>945.95</v>
      </c>
    </row>
    <row r="737" spans="1:9" ht="63">
      <c r="A737" s="372" t="s">
        <v>755</v>
      </c>
      <c r="B737" s="372" t="s">
        <v>60</v>
      </c>
      <c r="C737" s="372" t="s">
        <v>197</v>
      </c>
      <c r="D737" s="372" t="s">
        <v>197</v>
      </c>
      <c r="E737" s="372" t="s">
        <v>1013</v>
      </c>
      <c r="F737" s="372" t="s">
        <v>268</v>
      </c>
      <c r="G737" s="197">
        <v>35.997320000000002</v>
      </c>
      <c r="H737" s="197">
        <v>945.95</v>
      </c>
      <c r="I737" s="197">
        <v>945.95</v>
      </c>
    </row>
    <row r="738" spans="1:9" ht="47.25">
      <c r="A738" s="372" t="s">
        <v>1145</v>
      </c>
      <c r="B738" s="372" t="s">
        <v>60</v>
      </c>
      <c r="C738" s="372" t="s">
        <v>197</v>
      </c>
      <c r="D738" s="372" t="s">
        <v>197</v>
      </c>
      <c r="E738" s="372" t="s">
        <v>350</v>
      </c>
      <c r="F738" s="373"/>
      <c r="G738" s="197">
        <v>1433.52584</v>
      </c>
      <c r="H738" s="197">
        <v>1200</v>
      </c>
      <c r="I738" s="197">
        <v>1200</v>
      </c>
    </row>
    <row r="739" spans="1:9" ht="47.25">
      <c r="A739" s="372" t="s">
        <v>1471</v>
      </c>
      <c r="B739" s="372" t="s">
        <v>60</v>
      </c>
      <c r="C739" s="372" t="s">
        <v>197</v>
      </c>
      <c r="D739" s="372" t="s">
        <v>197</v>
      </c>
      <c r="E739" s="372" t="s">
        <v>351</v>
      </c>
      <c r="F739" s="373"/>
      <c r="G739" s="197">
        <v>1433.52584</v>
      </c>
      <c r="H739" s="197">
        <v>1200</v>
      </c>
      <c r="I739" s="197">
        <v>1200</v>
      </c>
    </row>
    <row r="740" spans="1:9" ht="63">
      <c r="A740" s="372" t="s">
        <v>782</v>
      </c>
      <c r="B740" s="372" t="s">
        <v>60</v>
      </c>
      <c r="C740" s="372" t="s">
        <v>197</v>
      </c>
      <c r="D740" s="372" t="s">
        <v>197</v>
      </c>
      <c r="E740" s="372" t="s">
        <v>352</v>
      </c>
      <c r="F740" s="373"/>
      <c r="G740" s="197">
        <v>1173.52584</v>
      </c>
      <c r="H740" s="197">
        <v>1200</v>
      </c>
      <c r="I740" s="197">
        <v>1200</v>
      </c>
    </row>
    <row r="741" spans="1:9" ht="63">
      <c r="A741" s="372" t="s">
        <v>755</v>
      </c>
      <c r="B741" s="372" t="s">
        <v>60</v>
      </c>
      <c r="C741" s="372" t="s">
        <v>197</v>
      </c>
      <c r="D741" s="372" t="s">
        <v>197</v>
      </c>
      <c r="E741" s="372" t="s">
        <v>352</v>
      </c>
      <c r="F741" s="372" t="s">
        <v>268</v>
      </c>
      <c r="G741" s="197">
        <v>1173.52584</v>
      </c>
      <c r="H741" s="197">
        <v>1200</v>
      </c>
      <c r="I741" s="197">
        <v>1200</v>
      </c>
    </row>
    <row r="742" spans="1:9" ht="31.5">
      <c r="A742" s="372" t="s">
        <v>1211</v>
      </c>
      <c r="B742" s="372" t="s">
        <v>60</v>
      </c>
      <c r="C742" s="372" t="s">
        <v>197</v>
      </c>
      <c r="D742" s="372" t="s">
        <v>197</v>
      </c>
      <c r="E742" s="372" t="s">
        <v>1202</v>
      </c>
      <c r="F742" s="373"/>
      <c r="G742" s="197">
        <v>260</v>
      </c>
      <c r="H742" s="197">
        <v>0</v>
      </c>
      <c r="I742" s="197">
        <v>0</v>
      </c>
    </row>
    <row r="743" spans="1:9" ht="63">
      <c r="A743" s="372" t="s">
        <v>755</v>
      </c>
      <c r="B743" s="372" t="s">
        <v>60</v>
      </c>
      <c r="C743" s="372" t="s">
        <v>197</v>
      </c>
      <c r="D743" s="372" t="s">
        <v>197</v>
      </c>
      <c r="E743" s="372" t="s">
        <v>1202</v>
      </c>
      <c r="F743" s="372" t="s">
        <v>268</v>
      </c>
      <c r="G743" s="197">
        <v>260</v>
      </c>
      <c r="H743" s="197">
        <v>0</v>
      </c>
      <c r="I743" s="197">
        <v>0</v>
      </c>
    </row>
    <row r="744" spans="1:9" ht="31.5">
      <c r="A744" s="372" t="s">
        <v>492</v>
      </c>
      <c r="B744" s="372" t="s">
        <v>60</v>
      </c>
      <c r="C744" s="372" t="s">
        <v>197</v>
      </c>
      <c r="D744" s="372" t="s">
        <v>201</v>
      </c>
      <c r="E744" s="373"/>
      <c r="F744" s="373"/>
      <c r="G744" s="197">
        <v>7.2</v>
      </c>
      <c r="H744" s="197">
        <v>0</v>
      </c>
      <c r="I744" s="197">
        <v>0</v>
      </c>
    </row>
    <row r="745" spans="1:9" ht="78.75">
      <c r="A745" s="372" t="s">
        <v>1119</v>
      </c>
      <c r="B745" s="372" t="s">
        <v>60</v>
      </c>
      <c r="C745" s="372" t="s">
        <v>197</v>
      </c>
      <c r="D745" s="372" t="s">
        <v>201</v>
      </c>
      <c r="E745" s="372" t="s">
        <v>345</v>
      </c>
      <c r="F745" s="373"/>
      <c r="G745" s="197">
        <v>7.2</v>
      </c>
      <c r="H745" s="197">
        <v>0</v>
      </c>
      <c r="I745" s="197">
        <v>0</v>
      </c>
    </row>
    <row r="746" spans="1:9" ht="63">
      <c r="A746" s="372" t="s">
        <v>1121</v>
      </c>
      <c r="B746" s="372" t="s">
        <v>60</v>
      </c>
      <c r="C746" s="372" t="s">
        <v>197</v>
      </c>
      <c r="D746" s="372" t="s">
        <v>201</v>
      </c>
      <c r="E746" s="372" t="s">
        <v>346</v>
      </c>
      <c r="F746" s="373"/>
      <c r="G746" s="197">
        <v>7.2</v>
      </c>
      <c r="H746" s="197">
        <v>0</v>
      </c>
      <c r="I746" s="197">
        <v>0</v>
      </c>
    </row>
    <row r="747" spans="1:9" ht="63">
      <c r="A747" s="372" t="s">
        <v>1460</v>
      </c>
      <c r="B747" s="372" t="s">
        <v>60</v>
      </c>
      <c r="C747" s="372" t="s">
        <v>197</v>
      </c>
      <c r="D747" s="372" t="s">
        <v>201</v>
      </c>
      <c r="E747" s="372" t="s">
        <v>347</v>
      </c>
      <c r="F747" s="373"/>
      <c r="G747" s="197">
        <v>7.2</v>
      </c>
      <c r="H747" s="197">
        <v>0</v>
      </c>
      <c r="I747" s="197">
        <v>0</v>
      </c>
    </row>
    <row r="748" spans="1:9" ht="47.25">
      <c r="A748" s="372" t="s">
        <v>1241</v>
      </c>
      <c r="B748" s="372" t="s">
        <v>60</v>
      </c>
      <c r="C748" s="372" t="s">
        <v>197</v>
      </c>
      <c r="D748" s="372" t="s">
        <v>201</v>
      </c>
      <c r="E748" s="372" t="s">
        <v>1215</v>
      </c>
      <c r="F748" s="373"/>
      <c r="G748" s="197">
        <v>7.2</v>
      </c>
      <c r="H748" s="197">
        <v>0</v>
      </c>
      <c r="I748" s="197">
        <v>0</v>
      </c>
    </row>
    <row r="749" spans="1:9" ht="31.5">
      <c r="A749" s="372" t="s">
        <v>769</v>
      </c>
      <c r="B749" s="372" t="s">
        <v>60</v>
      </c>
      <c r="C749" s="372" t="s">
        <v>197</v>
      </c>
      <c r="D749" s="372" t="s">
        <v>201</v>
      </c>
      <c r="E749" s="372" t="s">
        <v>1215</v>
      </c>
      <c r="F749" s="372" t="s">
        <v>271</v>
      </c>
      <c r="G749" s="197">
        <v>7.2</v>
      </c>
      <c r="H749" s="197">
        <v>0</v>
      </c>
      <c r="I749" s="197">
        <v>0</v>
      </c>
    </row>
    <row r="750" spans="1:9" ht="15.75">
      <c r="A750" s="372" t="s">
        <v>493</v>
      </c>
      <c r="B750" s="372" t="s">
        <v>60</v>
      </c>
      <c r="C750" s="372" t="s">
        <v>203</v>
      </c>
      <c r="D750" s="373"/>
      <c r="E750" s="373"/>
      <c r="F750" s="373"/>
      <c r="G750" s="197">
        <v>20222.648799999999</v>
      </c>
      <c r="H750" s="197">
        <v>13531.656000000001</v>
      </c>
      <c r="I750" s="197">
        <v>12458.199000000001</v>
      </c>
    </row>
    <row r="751" spans="1:9" ht="15.75">
      <c r="A751" s="372" t="s">
        <v>530</v>
      </c>
      <c r="B751" s="372" t="s">
        <v>60</v>
      </c>
      <c r="C751" s="372" t="s">
        <v>203</v>
      </c>
      <c r="D751" s="372" t="s">
        <v>200</v>
      </c>
      <c r="E751" s="373"/>
      <c r="F751" s="373"/>
      <c r="G751" s="197">
        <v>2640</v>
      </c>
      <c r="H751" s="197">
        <v>2640</v>
      </c>
      <c r="I751" s="197">
        <v>2640</v>
      </c>
    </row>
    <row r="752" spans="1:9" ht="78.75">
      <c r="A752" s="372" t="s">
        <v>1146</v>
      </c>
      <c r="B752" s="372" t="s">
        <v>60</v>
      </c>
      <c r="C752" s="372" t="s">
        <v>203</v>
      </c>
      <c r="D752" s="372" t="s">
        <v>200</v>
      </c>
      <c r="E752" s="372" t="s">
        <v>1105</v>
      </c>
      <c r="F752" s="373"/>
      <c r="G752" s="197">
        <v>2640</v>
      </c>
      <c r="H752" s="197">
        <v>2640</v>
      </c>
      <c r="I752" s="197">
        <v>2640</v>
      </c>
    </row>
    <row r="753" spans="1:9" ht="31.5">
      <c r="A753" s="372" t="s">
        <v>509</v>
      </c>
      <c r="B753" s="372" t="s">
        <v>60</v>
      </c>
      <c r="C753" s="372" t="s">
        <v>203</v>
      </c>
      <c r="D753" s="372" t="s">
        <v>200</v>
      </c>
      <c r="E753" s="372" t="s">
        <v>1106</v>
      </c>
      <c r="F753" s="373"/>
      <c r="G753" s="197">
        <v>2640</v>
      </c>
      <c r="H753" s="197">
        <v>2640</v>
      </c>
      <c r="I753" s="197">
        <v>2640</v>
      </c>
    </row>
    <row r="754" spans="1:9" ht="31.5">
      <c r="A754" s="372" t="s">
        <v>1441</v>
      </c>
      <c r="B754" s="372" t="s">
        <v>60</v>
      </c>
      <c r="C754" s="372" t="s">
        <v>203</v>
      </c>
      <c r="D754" s="372" t="s">
        <v>200</v>
      </c>
      <c r="E754" s="372" t="s">
        <v>1106</v>
      </c>
      <c r="F754" s="373"/>
      <c r="G754" s="197">
        <v>2640</v>
      </c>
      <c r="H754" s="197">
        <v>2640</v>
      </c>
      <c r="I754" s="197">
        <v>2640</v>
      </c>
    </row>
    <row r="755" spans="1:9" ht="94.5">
      <c r="A755" s="372" t="s">
        <v>819</v>
      </c>
      <c r="B755" s="372" t="s">
        <v>60</v>
      </c>
      <c r="C755" s="372" t="s">
        <v>203</v>
      </c>
      <c r="D755" s="372" t="s">
        <v>200</v>
      </c>
      <c r="E755" s="372" t="s">
        <v>1107</v>
      </c>
      <c r="F755" s="373"/>
      <c r="G755" s="197">
        <v>2640</v>
      </c>
      <c r="H755" s="197">
        <v>2640</v>
      </c>
      <c r="I755" s="197">
        <v>2640</v>
      </c>
    </row>
    <row r="756" spans="1:9" ht="31.5">
      <c r="A756" s="372" t="s">
        <v>769</v>
      </c>
      <c r="B756" s="372" t="s">
        <v>60</v>
      </c>
      <c r="C756" s="372" t="s">
        <v>203</v>
      </c>
      <c r="D756" s="372" t="s">
        <v>200</v>
      </c>
      <c r="E756" s="372" t="s">
        <v>1107</v>
      </c>
      <c r="F756" s="372" t="s">
        <v>271</v>
      </c>
      <c r="G756" s="197">
        <v>2640</v>
      </c>
      <c r="H756" s="197">
        <v>2640</v>
      </c>
      <c r="I756" s="197">
        <v>2640</v>
      </c>
    </row>
    <row r="757" spans="1:9" ht="31.5">
      <c r="A757" s="372" t="s">
        <v>514</v>
      </c>
      <c r="B757" s="372" t="s">
        <v>60</v>
      </c>
      <c r="C757" s="372" t="s">
        <v>203</v>
      </c>
      <c r="D757" s="372" t="s">
        <v>202</v>
      </c>
      <c r="E757" s="373"/>
      <c r="F757" s="373"/>
      <c r="G757" s="197">
        <v>11864.8208</v>
      </c>
      <c r="H757" s="197">
        <v>1532</v>
      </c>
      <c r="I757" s="197">
        <v>1532</v>
      </c>
    </row>
    <row r="758" spans="1:9" ht="78.75">
      <c r="A758" s="372" t="s">
        <v>1119</v>
      </c>
      <c r="B758" s="372" t="s">
        <v>60</v>
      </c>
      <c r="C758" s="372" t="s">
        <v>203</v>
      </c>
      <c r="D758" s="372" t="s">
        <v>202</v>
      </c>
      <c r="E758" s="372" t="s">
        <v>345</v>
      </c>
      <c r="F758" s="373"/>
      <c r="G758" s="197">
        <v>82</v>
      </c>
      <c r="H758" s="197">
        <v>100</v>
      </c>
      <c r="I758" s="197">
        <v>100</v>
      </c>
    </row>
    <row r="759" spans="1:9" ht="63">
      <c r="A759" s="372" t="s">
        <v>1121</v>
      </c>
      <c r="B759" s="372" t="s">
        <v>60</v>
      </c>
      <c r="C759" s="372" t="s">
        <v>203</v>
      </c>
      <c r="D759" s="372" t="s">
        <v>202</v>
      </c>
      <c r="E759" s="372" t="s">
        <v>346</v>
      </c>
      <c r="F759" s="373"/>
      <c r="G759" s="197">
        <v>82</v>
      </c>
      <c r="H759" s="197">
        <v>100</v>
      </c>
      <c r="I759" s="197">
        <v>100</v>
      </c>
    </row>
    <row r="760" spans="1:9" ht="47.25">
      <c r="A760" s="372" t="s">
        <v>1482</v>
      </c>
      <c r="B760" s="372" t="s">
        <v>60</v>
      </c>
      <c r="C760" s="372" t="s">
        <v>203</v>
      </c>
      <c r="D760" s="372" t="s">
        <v>202</v>
      </c>
      <c r="E760" s="372" t="s">
        <v>1002</v>
      </c>
      <c r="F760" s="373"/>
      <c r="G760" s="197">
        <v>82</v>
      </c>
      <c r="H760" s="197">
        <v>100</v>
      </c>
      <c r="I760" s="197">
        <v>100</v>
      </c>
    </row>
    <row r="761" spans="1:9" ht="47.25">
      <c r="A761" s="372" t="s">
        <v>831</v>
      </c>
      <c r="B761" s="372" t="s">
        <v>60</v>
      </c>
      <c r="C761" s="372" t="s">
        <v>203</v>
      </c>
      <c r="D761" s="372" t="s">
        <v>202</v>
      </c>
      <c r="E761" s="372" t="s">
        <v>1003</v>
      </c>
      <c r="F761" s="373"/>
      <c r="G761" s="197">
        <v>82</v>
      </c>
      <c r="H761" s="197">
        <v>100</v>
      </c>
      <c r="I761" s="197">
        <v>100</v>
      </c>
    </row>
    <row r="762" spans="1:9" ht="31.5">
      <c r="A762" s="372" t="s">
        <v>769</v>
      </c>
      <c r="B762" s="372" t="s">
        <v>60</v>
      </c>
      <c r="C762" s="372" t="s">
        <v>203</v>
      </c>
      <c r="D762" s="372" t="s">
        <v>202</v>
      </c>
      <c r="E762" s="372" t="s">
        <v>1003</v>
      </c>
      <c r="F762" s="372" t="s">
        <v>271</v>
      </c>
      <c r="G762" s="197">
        <v>82</v>
      </c>
      <c r="H762" s="197">
        <v>100</v>
      </c>
      <c r="I762" s="197">
        <v>100</v>
      </c>
    </row>
    <row r="763" spans="1:9" ht="110.25">
      <c r="A763" s="372" t="s">
        <v>500</v>
      </c>
      <c r="B763" s="372" t="s">
        <v>60</v>
      </c>
      <c r="C763" s="372" t="s">
        <v>203</v>
      </c>
      <c r="D763" s="372" t="s">
        <v>202</v>
      </c>
      <c r="E763" s="372" t="s">
        <v>353</v>
      </c>
      <c r="F763" s="373"/>
      <c r="G763" s="197">
        <v>10799.8208</v>
      </c>
      <c r="H763" s="197">
        <v>449</v>
      </c>
      <c r="I763" s="197">
        <v>449</v>
      </c>
    </row>
    <row r="764" spans="1:9" ht="78.75">
      <c r="A764" s="372" t="s">
        <v>515</v>
      </c>
      <c r="B764" s="372" t="s">
        <v>60</v>
      </c>
      <c r="C764" s="372" t="s">
        <v>203</v>
      </c>
      <c r="D764" s="372" t="s">
        <v>202</v>
      </c>
      <c r="E764" s="372" t="s">
        <v>462</v>
      </c>
      <c r="F764" s="373"/>
      <c r="G764" s="197">
        <v>2486.4416000000001</v>
      </c>
      <c r="H764" s="197">
        <v>125</v>
      </c>
      <c r="I764" s="197">
        <v>125</v>
      </c>
    </row>
    <row r="765" spans="1:9" ht="78.75">
      <c r="A765" s="372" t="s">
        <v>1483</v>
      </c>
      <c r="B765" s="372" t="s">
        <v>60</v>
      </c>
      <c r="C765" s="372" t="s">
        <v>203</v>
      </c>
      <c r="D765" s="372" t="s">
        <v>202</v>
      </c>
      <c r="E765" s="372" t="s">
        <v>463</v>
      </c>
      <c r="F765" s="373"/>
      <c r="G765" s="197">
        <v>2486.4416000000001</v>
      </c>
      <c r="H765" s="197">
        <v>125</v>
      </c>
      <c r="I765" s="197">
        <v>125</v>
      </c>
    </row>
    <row r="766" spans="1:9" ht="141.75">
      <c r="A766" s="372" t="s">
        <v>1147</v>
      </c>
      <c r="B766" s="372" t="s">
        <v>60</v>
      </c>
      <c r="C766" s="372" t="s">
        <v>203</v>
      </c>
      <c r="D766" s="372" t="s">
        <v>202</v>
      </c>
      <c r="E766" s="372" t="s">
        <v>887</v>
      </c>
      <c r="F766" s="373"/>
      <c r="G766" s="197">
        <v>2486.4416000000001</v>
      </c>
      <c r="H766" s="197">
        <v>125</v>
      </c>
      <c r="I766" s="197">
        <v>125</v>
      </c>
    </row>
    <row r="767" spans="1:9" ht="31.5">
      <c r="A767" s="372" t="s">
        <v>769</v>
      </c>
      <c r="B767" s="372" t="s">
        <v>60</v>
      </c>
      <c r="C767" s="372" t="s">
        <v>203</v>
      </c>
      <c r="D767" s="372" t="s">
        <v>202</v>
      </c>
      <c r="E767" s="372" t="s">
        <v>887</v>
      </c>
      <c r="F767" s="372" t="s">
        <v>271</v>
      </c>
      <c r="G767" s="197">
        <v>2486.4416000000001</v>
      </c>
      <c r="H767" s="197">
        <v>125</v>
      </c>
      <c r="I767" s="197">
        <v>125</v>
      </c>
    </row>
    <row r="768" spans="1:9" ht="31.5">
      <c r="A768" s="372" t="s">
        <v>1148</v>
      </c>
      <c r="B768" s="372" t="s">
        <v>60</v>
      </c>
      <c r="C768" s="372" t="s">
        <v>203</v>
      </c>
      <c r="D768" s="372" t="s">
        <v>202</v>
      </c>
      <c r="E768" s="372" t="s">
        <v>1023</v>
      </c>
      <c r="F768" s="373"/>
      <c r="G768" s="197">
        <v>8313.3791999999994</v>
      </c>
      <c r="H768" s="197">
        <v>324</v>
      </c>
      <c r="I768" s="197">
        <v>324</v>
      </c>
    </row>
    <row r="769" spans="1:9" ht="47.25">
      <c r="A769" s="372" t="s">
        <v>1484</v>
      </c>
      <c r="B769" s="372" t="s">
        <v>60</v>
      </c>
      <c r="C769" s="372" t="s">
        <v>203</v>
      </c>
      <c r="D769" s="372" t="s">
        <v>202</v>
      </c>
      <c r="E769" s="372" t="s">
        <v>1024</v>
      </c>
      <c r="F769" s="373"/>
      <c r="G769" s="197">
        <v>8313.3791999999994</v>
      </c>
      <c r="H769" s="197">
        <v>324</v>
      </c>
      <c r="I769" s="197">
        <v>324</v>
      </c>
    </row>
    <row r="770" spans="1:9" ht="78.75">
      <c r="A770" s="372" t="s">
        <v>891</v>
      </c>
      <c r="B770" s="372" t="s">
        <v>60</v>
      </c>
      <c r="C770" s="372" t="s">
        <v>203</v>
      </c>
      <c r="D770" s="372" t="s">
        <v>202</v>
      </c>
      <c r="E770" s="372" t="s">
        <v>1025</v>
      </c>
      <c r="F770" s="373"/>
      <c r="G770" s="197">
        <v>8313.3791999999994</v>
      </c>
      <c r="H770" s="197">
        <v>324</v>
      </c>
      <c r="I770" s="197">
        <v>324</v>
      </c>
    </row>
    <row r="771" spans="1:9" ht="31.5">
      <c r="A771" s="372" t="s">
        <v>769</v>
      </c>
      <c r="B771" s="372" t="s">
        <v>60</v>
      </c>
      <c r="C771" s="372" t="s">
        <v>203</v>
      </c>
      <c r="D771" s="372" t="s">
        <v>202</v>
      </c>
      <c r="E771" s="372" t="s">
        <v>1025</v>
      </c>
      <c r="F771" s="372" t="s">
        <v>271</v>
      </c>
      <c r="G771" s="197">
        <v>8313.3791999999994</v>
      </c>
      <c r="H771" s="197">
        <v>324</v>
      </c>
      <c r="I771" s="197">
        <v>324</v>
      </c>
    </row>
    <row r="772" spans="1:9" ht="78.75">
      <c r="A772" s="372" t="s">
        <v>484</v>
      </c>
      <c r="B772" s="372" t="s">
        <v>60</v>
      </c>
      <c r="C772" s="372" t="s">
        <v>203</v>
      </c>
      <c r="D772" s="372" t="s">
        <v>202</v>
      </c>
      <c r="E772" s="372" t="s">
        <v>396</v>
      </c>
      <c r="F772" s="373"/>
      <c r="G772" s="197">
        <v>250</v>
      </c>
      <c r="H772" s="197">
        <v>250</v>
      </c>
      <c r="I772" s="197">
        <v>250</v>
      </c>
    </row>
    <row r="773" spans="1:9" ht="47.25">
      <c r="A773" s="372" t="s">
        <v>522</v>
      </c>
      <c r="B773" s="372" t="s">
        <v>60</v>
      </c>
      <c r="C773" s="372" t="s">
        <v>203</v>
      </c>
      <c r="D773" s="372" t="s">
        <v>202</v>
      </c>
      <c r="E773" s="372" t="s">
        <v>404</v>
      </c>
      <c r="F773" s="373"/>
      <c r="G773" s="197">
        <v>250</v>
      </c>
      <c r="H773" s="197">
        <v>250</v>
      </c>
      <c r="I773" s="197">
        <v>250</v>
      </c>
    </row>
    <row r="774" spans="1:9" ht="94.5">
      <c r="A774" s="372" t="s">
        <v>1479</v>
      </c>
      <c r="B774" s="372" t="s">
        <v>60</v>
      </c>
      <c r="C774" s="372" t="s">
        <v>203</v>
      </c>
      <c r="D774" s="372" t="s">
        <v>202</v>
      </c>
      <c r="E774" s="372" t="s">
        <v>405</v>
      </c>
      <c r="F774" s="373"/>
      <c r="G774" s="197">
        <v>250</v>
      </c>
      <c r="H774" s="197">
        <v>250</v>
      </c>
      <c r="I774" s="197">
        <v>250</v>
      </c>
    </row>
    <row r="775" spans="1:9" ht="47.25">
      <c r="A775" s="372" t="s">
        <v>832</v>
      </c>
      <c r="B775" s="372" t="s">
        <v>60</v>
      </c>
      <c r="C775" s="372" t="s">
        <v>203</v>
      </c>
      <c r="D775" s="372" t="s">
        <v>202</v>
      </c>
      <c r="E775" s="372" t="s">
        <v>1101</v>
      </c>
      <c r="F775" s="373"/>
      <c r="G775" s="197">
        <v>250</v>
      </c>
      <c r="H775" s="197">
        <v>250</v>
      </c>
      <c r="I775" s="197">
        <v>250</v>
      </c>
    </row>
    <row r="776" spans="1:9" ht="63">
      <c r="A776" s="372" t="s">
        <v>755</v>
      </c>
      <c r="B776" s="372" t="s">
        <v>60</v>
      </c>
      <c r="C776" s="372" t="s">
        <v>203</v>
      </c>
      <c r="D776" s="372" t="s">
        <v>202</v>
      </c>
      <c r="E776" s="372" t="s">
        <v>1101</v>
      </c>
      <c r="F776" s="372" t="s">
        <v>268</v>
      </c>
      <c r="G776" s="197">
        <v>250</v>
      </c>
      <c r="H776" s="197">
        <v>250</v>
      </c>
      <c r="I776" s="197">
        <v>250</v>
      </c>
    </row>
    <row r="777" spans="1:9" ht="78.75">
      <c r="A777" s="372" t="s">
        <v>1146</v>
      </c>
      <c r="B777" s="372" t="s">
        <v>60</v>
      </c>
      <c r="C777" s="372" t="s">
        <v>203</v>
      </c>
      <c r="D777" s="372" t="s">
        <v>202</v>
      </c>
      <c r="E777" s="372" t="s">
        <v>1105</v>
      </c>
      <c r="F777" s="373"/>
      <c r="G777" s="197">
        <v>733</v>
      </c>
      <c r="H777" s="197">
        <v>733</v>
      </c>
      <c r="I777" s="197">
        <v>733</v>
      </c>
    </row>
    <row r="778" spans="1:9" ht="31.5">
      <c r="A778" s="372" t="s">
        <v>509</v>
      </c>
      <c r="B778" s="372" t="s">
        <v>60</v>
      </c>
      <c r="C778" s="372" t="s">
        <v>203</v>
      </c>
      <c r="D778" s="372" t="s">
        <v>202</v>
      </c>
      <c r="E778" s="372" t="s">
        <v>1106</v>
      </c>
      <c r="F778" s="373"/>
      <c r="G778" s="197">
        <v>733</v>
      </c>
      <c r="H778" s="197">
        <v>733</v>
      </c>
      <c r="I778" s="197">
        <v>733</v>
      </c>
    </row>
    <row r="779" spans="1:9" ht="31.5">
      <c r="A779" s="372" t="s">
        <v>1441</v>
      </c>
      <c r="B779" s="372" t="s">
        <v>60</v>
      </c>
      <c r="C779" s="372" t="s">
        <v>203</v>
      </c>
      <c r="D779" s="372" t="s">
        <v>202</v>
      </c>
      <c r="E779" s="372" t="s">
        <v>1106</v>
      </c>
      <c r="F779" s="373"/>
      <c r="G779" s="197">
        <v>733</v>
      </c>
      <c r="H779" s="197">
        <v>733</v>
      </c>
      <c r="I779" s="197">
        <v>733</v>
      </c>
    </row>
    <row r="780" spans="1:9" ht="63">
      <c r="A780" s="372" t="s">
        <v>820</v>
      </c>
      <c r="B780" s="372" t="s">
        <v>60</v>
      </c>
      <c r="C780" s="372" t="s">
        <v>203</v>
      </c>
      <c r="D780" s="372" t="s">
        <v>202</v>
      </c>
      <c r="E780" s="372" t="s">
        <v>1108</v>
      </c>
      <c r="F780" s="373"/>
      <c r="G780" s="197">
        <v>733</v>
      </c>
      <c r="H780" s="197">
        <v>733</v>
      </c>
      <c r="I780" s="197">
        <v>733</v>
      </c>
    </row>
    <row r="781" spans="1:9" ht="31.5">
      <c r="A781" s="372" t="s">
        <v>769</v>
      </c>
      <c r="B781" s="372" t="s">
        <v>60</v>
      </c>
      <c r="C781" s="372" t="s">
        <v>203</v>
      </c>
      <c r="D781" s="372" t="s">
        <v>202</v>
      </c>
      <c r="E781" s="372" t="s">
        <v>1108</v>
      </c>
      <c r="F781" s="372" t="s">
        <v>271</v>
      </c>
      <c r="G781" s="197">
        <v>733</v>
      </c>
      <c r="H781" s="197">
        <v>733</v>
      </c>
      <c r="I781" s="197">
        <v>733</v>
      </c>
    </row>
    <row r="782" spans="1:9" ht="15.75">
      <c r="A782" s="372" t="s">
        <v>494</v>
      </c>
      <c r="B782" s="372" t="s">
        <v>60</v>
      </c>
      <c r="C782" s="372" t="s">
        <v>203</v>
      </c>
      <c r="D782" s="372" t="s">
        <v>195</v>
      </c>
      <c r="E782" s="373"/>
      <c r="F782" s="373"/>
      <c r="G782" s="197">
        <v>4293.8280000000004</v>
      </c>
      <c r="H782" s="197">
        <v>8587.6560000000009</v>
      </c>
      <c r="I782" s="197">
        <v>7514.1989999999996</v>
      </c>
    </row>
    <row r="783" spans="1:9" ht="110.25">
      <c r="A783" s="372" t="s">
        <v>500</v>
      </c>
      <c r="B783" s="372" t="s">
        <v>60</v>
      </c>
      <c r="C783" s="372" t="s">
        <v>203</v>
      </c>
      <c r="D783" s="372" t="s">
        <v>195</v>
      </c>
      <c r="E783" s="372" t="s">
        <v>353</v>
      </c>
      <c r="F783" s="373"/>
      <c r="G783" s="197">
        <v>4293.8280000000004</v>
      </c>
      <c r="H783" s="197">
        <v>8587.6560000000009</v>
      </c>
      <c r="I783" s="197">
        <v>7514.1989999999996</v>
      </c>
    </row>
    <row r="784" spans="1:9" ht="15.75">
      <c r="A784" s="372" t="s">
        <v>501</v>
      </c>
      <c r="B784" s="372" t="s">
        <v>60</v>
      </c>
      <c r="C784" s="372" t="s">
        <v>203</v>
      </c>
      <c r="D784" s="372" t="s">
        <v>195</v>
      </c>
      <c r="E784" s="372" t="s">
        <v>354</v>
      </c>
      <c r="F784" s="373"/>
      <c r="G784" s="197">
        <v>4293.8280000000004</v>
      </c>
      <c r="H784" s="197">
        <v>8587.6560000000009</v>
      </c>
      <c r="I784" s="197">
        <v>7514.1989999999996</v>
      </c>
    </row>
    <row r="785" spans="1:9" ht="236.25">
      <c r="A785" s="372" t="s">
        <v>1466</v>
      </c>
      <c r="B785" s="372" t="s">
        <v>60</v>
      </c>
      <c r="C785" s="372" t="s">
        <v>203</v>
      </c>
      <c r="D785" s="372" t="s">
        <v>195</v>
      </c>
      <c r="E785" s="372" t="s">
        <v>355</v>
      </c>
      <c r="F785" s="373"/>
      <c r="G785" s="197">
        <v>4293.8280000000004</v>
      </c>
      <c r="H785" s="197">
        <v>8587.6560000000009</v>
      </c>
      <c r="I785" s="197">
        <v>7514.1989999999996</v>
      </c>
    </row>
    <row r="786" spans="1:9" ht="110.25">
      <c r="A786" s="372" t="s">
        <v>809</v>
      </c>
      <c r="B786" s="372" t="s">
        <v>60</v>
      </c>
      <c r="C786" s="372" t="s">
        <v>203</v>
      </c>
      <c r="D786" s="372" t="s">
        <v>195</v>
      </c>
      <c r="E786" s="372" t="s">
        <v>1016</v>
      </c>
      <c r="F786" s="373"/>
      <c r="G786" s="197">
        <v>4293.8280000000004</v>
      </c>
      <c r="H786" s="197">
        <v>8587.6560000000009</v>
      </c>
      <c r="I786" s="197">
        <v>7514.1989999999996</v>
      </c>
    </row>
    <row r="787" spans="1:9" ht="47.25">
      <c r="A787" s="372" t="s">
        <v>810</v>
      </c>
      <c r="B787" s="372" t="s">
        <v>60</v>
      </c>
      <c r="C787" s="372" t="s">
        <v>203</v>
      </c>
      <c r="D787" s="372" t="s">
        <v>195</v>
      </c>
      <c r="E787" s="372" t="s">
        <v>1016</v>
      </c>
      <c r="F787" s="372" t="s">
        <v>270</v>
      </c>
      <c r="G787" s="197">
        <v>4293.8280000000004</v>
      </c>
      <c r="H787" s="197">
        <v>8587.6560000000009</v>
      </c>
      <c r="I787" s="197">
        <v>7514.1989999999996</v>
      </c>
    </row>
    <row r="788" spans="1:9" ht="31.5">
      <c r="A788" s="372" t="s">
        <v>541</v>
      </c>
      <c r="B788" s="372" t="s">
        <v>60</v>
      </c>
      <c r="C788" s="372" t="s">
        <v>203</v>
      </c>
      <c r="D788" s="372" t="s">
        <v>204</v>
      </c>
      <c r="E788" s="373"/>
      <c r="F788" s="373"/>
      <c r="G788" s="197">
        <v>1424</v>
      </c>
      <c r="H788" s="197">
        <v>772</v>
      </c>
      <c r="I788" s="197">
        <v>772</v>
      </c>
    </row>
    <row r="789" spans="1:9" ht="78.75">
      <c r="A789" s="372" t="s">
        <v>1119</v>
      </c>
      <c r="B789" s="372" t="s">
        <v>60</v>
      </c>
      <c r="C789" s="372" t="s">
        <v>203</v>
      </c>
      <c r="D789" s="372" t="s">
        <v>204</v>
      </c>
      <c r="E789" s="372" t="s">
        <v>345</v>
      </c>
      <c r="F789" s="373"/>
      <c r="G789" s="197">
        <v>272</v>
      </c>
      <c r="H789" s="197">
        <v>272</v>
      </c>
      <c r="I789" s="197">
        <v>272</v>
      </c>
    </row>
    <row r="790" spans="1:9" ht="63">
      <c r="A790" s="372" t="s">
        <v>1121</v>
      </c>
      <c r="B790" s="372" t="s">
        <v>60</v>
      </c>
      <c r="C790" s="372" t="s">
        <v>203</v>
      </c>
      <c r="D790" s="372" t="s">
        <v>204</v>
      </c>
      <c r="E790" s="372" t="s">
        <v>346</v>
      </c>
      <c r="F790" s="373"/>
      <c r="G790" s="197">
        <v>172</v>
      </c>
      <c r="H790" s="197">
        <v>172</v>
      </c>
      <c r="I790" s="197">
        <v>172</v>
      </c>
    </row>
    <row r="791" spans="1:9" ht="63">
      <c r="A791" s="372" t="s">
        <v>1460</v>
      </c>
      <c r="B791" s="372" t="s">
        <v>60</v>
      </c>
      <c r="C791" s="372" t="s">
        <v>203</v>
      </c>
      <c r="D791" s="372" t="s">
        <v>204</v>
      </c>
      <c r="E791" s="372" t="s">
        <v>347</v>
      </c>
      <c r="F791" s="373"/>
      <c r="G791" s="197">
        <v>172</v>
      </c>
      <c r="H791" s="197">
        <v>172</v>
      </c>
      <c r="I791" s="197">
        <v>172</v>
      </c>
    </row>
    <row r="792" spans="1:9" ht="47.25">
      <c r="A792" s="372" t="s">
        <v>833</v>
      </c>
      <c r="B792" s="372" t="s">
        <v>60</v>
      </c>
      <c r="C792" s="372" t="s">
        <v>203</v>
      </c>
      <c r="D792" s="372" t="s">
        <v>204</v>
      </c>
      <c r="E792" s="372" t="s">
        <v>1000</v>
      </c>
      <c r="F792" s="373"/>
      <c r="G792" s="197">
        <v>100</v>
      </c>
      <c r="H792" s="197">
        <v>100</v>
      </c>
      <c r="I792" s="197">
        <v>100</v>
      </c>
    </row>
    <row r="793" spans="1:9" ht="31.5">
      <c r="A793" s="372" t="s">
        <v>769</v>
      </c>
      <c r="B793" s="372" t="s">
        <v>60</v>
      </c>
      <c r="C793" s="372" t="s">
        <v>203</v>
      </c>
      <c r="D793" s="372" t="s">
        <v>204</v>
      </c>
      <c r="E793" s="372" t="s">
        <v>1000</v>
      </c>
      <c r="F793" s="372" t="s">
        <v>271</v>
      </c>
      <c r="G793" s="197">
        <v>100</v>
      </c>
      <c r="H793" s="197">
        <v>100</v>
      </c>
      <c r="I793" s="197">
        <v>100</v>
      </c>
    </row>
    <row r="794" spans="1:9" ht="47.25">
      <c r="A794" s="372" t="s">
        <v>834</v>
      </c>
      <c r="B794" s="372" t="s">
        <v>60</v>
      </c>
      <c r="C794" s="372" t="s">
        <v>203</v>
      </c>
      <c r="D794" s="372" t="s">
        <v>204</v>
      </c>
      <c r="E794" s="372" t="s">
        <v>1001</v>
      </c>
      <c r="F794" s="373"/>
      <c r="G794" s="197">
        <v>72</v>
      </c>
      <c r="H794" s="197">
        <v>72</v>
      </c>
      <c r="I794" s="197">
        <v>72</v>
      </c>
    </row>
    <row r="795" spans="1:9" ht="31.5">
      <c r="A795" s="372" t="s">
        <v>769</v>
      </c>
      <c r="B795" s="372" t="s">
        <v>60</v>
      </c>
      <c r="C795" s="372" t="s">
        <v>203</v>
      </c>
      <c r="D795" s="372" t="s">
        <v>204</v>
      </c>
      <c r="E795" s="372" t="s">
        <v>1001</v>
      </c>
      <c r="F795" s="372" t="s">
        <v>271</v>
      </c>
      <c r="G795" s="197">
        <v>72</v>
      </c>
      <c r="H795" s="197">
        <v>72</v>
      </c>
      <c r="I795" s="197">
        <v>72</v>
      </c>
    </row>
    <row r="796" spans="1:9" ht="31.5">
      <c r="A796" s="372" t="s">
        <v>479</v>
      </c>
      <c r="B796" s="372" t="s">
        <v>60</v>
      </c>
      <c r="C796" s="372" t="s">
        <v>203</v>
      </c>
      <c r="D796" s="372" t="s">
        <v>204</v>
      </c>
      <c r="E796" s="372" t="s">
        <v>348</v>
      </c>
      <c r="F796" s="373"/>
      <c r="G796" s="197">
        <v>100</v>
      </c>
      <c r="H796" s="197">
        <v>100</v>
      </c>
      <c r="I796" s="197">
        <v>100</v>
      </c>
    </row>
    <row r="797" spans="1:9" ht="63">
      <c r="A797" s="372" t="s">
        <v>1485</v>
      </c>
      <c r="B797" s="372" t="s">
        <v>60</v>
      </c>
      <c r="C797" s="372" t="s">
        <v>203</v>
      </c>
      <c r="D797" s="372" t="s">
        <v>204</v>
      </c>
      <c r="E797" s="372" t="s">
        <v>349</v>
      </c>
      <c r="F797" s="373"/>
      <c r="G797" s="197">
        <v>100</v>
      </c>
      <c r="H797" s="197">
        <v>100</v>
      </c>
      <c r="I797" s="197">
        <v>100</v>
      </c>
    </row>
    <row r="798" spans="1:9" ht="78.75">
      <c r="A798" s="372" t="s">
        <v>1149</v>
      </c>
      <c r="B798" s="372" t="s">
        <v>60</v>
      </c>
      <c r="C798" s="372" t="s">
        <v>203</v>
      </c>
      <c r="D798" s="372" t="s">
        <v>204</v>
      </c>
      <c r="E798" s="372" t="s">
        <v>1006</v>
      </c>
      <c r="F798" s="373"/>
      <c r="G798" s="197">
        <v>100</v>
      </c>
      <c r="H798" s="197">
        <v>100</v>
      </c>
      <c r="I798" s="197">
        <v>100</v>
      </c>
    </row>
    <row r="799" spans="1:9" ht="31.5">
      <c r="A799" s="372" t="s">
        <v>769</v>
      </c>
      <c r="B799" s="372" t="s">
        <v>60</v>
      </c>
      <c r="C799" s="372" t="s">
        <v>203</v>
      </c>
      <c r="D799" s="372" t="s">
        <v>204</v>
      </c>
      <c r="E799" s="372" t="s">
        <v>1006</v>
      </c>
      <c r="F799" s="372" t="s">
        <v>271</v>
      </c>
      <c r="G799" s="197">
        <v>100</v>
      </c>
      <c r="H799" s="197">
        <v>100</v>
      </c>
      <c r="I799" s="197">
        <v>100</v>
      </c>
    </row>
    <row r="800" spans="1:9" ht="78.75">
      <c r="A800" s="372" t="s">
        <v>1131</v>
      </c>
      <c r="B800" s="372" t="s">
        <v>60</v>
      </c>
      <c r="C800" s="372" t="s">
        <v>203</v>
      </c>
      <c r="D800" s="372" t="s">
        <v>204</v>
      </c>
      <c r="E800" s="372" t="s">
        <v>389</v>
      </c>
      <c r="F800" s="373"/>
      <c r="G800" s="197">
        <v>1152</v>
      </c>
      <c r="H800" s="197">
        <v>500</v>
      </c>
      <c r="I800" s="197">
        <v>500</v>
      </c>
    </row>
    <row r="801" spans="1:9" ht="78.75">
      <c r="A801" s="372" t="s">
        <v>1442</v>
      </c>
      <c r="B801" s="372" t="s">
        <v>60</v>
      </c>
      <c r="C801" s="372" t="s">
        <v>203</v>
      </c>
      <c r="D801" s="372" t="s">
        <v>204</v>
      </c>
      <c r="E801" s="372" t="s">
        <v>389</v>
      </c>
      <c r="F801" s="373"/>
      <c r="G801" s="197">
        <v>1152</v>
      </c>
      <c r="H801" s="197">
        <v>500</v>
      </c>
      <c r="I801" s="197">
        <v>500</v>
      </c>
    </row>
    <row r="802" spans="1:9" ht="141.75">
      <c r="A802" s="372" t="s">
        <v>1486</v>
      </c>
      <c r="B802" s="372" t="s">
        <v>60</v>
      </c>
      <c r="C802" s="372" t="s">
        <v>203</v>
      </c>
      <c r="D802" s="372" t="s">
        <v>204</v>
      </c>
      <c r="E802" s="372" t="s">
        <v>1068</v>
      </c>
      <c r="F802" s="373"/>
      <c r="G802" s="197">
        <v>1152</v>
      </c>
      <c r="H802" s="197">
        <v>500</v>
      </c>
      <c r="I802" s="197">
        <v>500</v>
      </c>
    </row>
    <row r="803" spans="1:9" ht="126">
      <c r="A803" s="372" t="s">
        <v>1150</v>
      </c>
      <c r="B803" s="372" t="s">
        <v>60</v>
      </c>
      <c r="C803" s="372" t="s">
        <v>203</v>
      </c>
      <c r="D803" s="372" t="s">
        <v>204</v>
      </c>
      <c r="E803" s="372" t="s">
        <v>1070</v>
      </c>
      <c r="F803" s="373"/>
      <c r="G803" s="197">
        <v>1152</v>
      </c>
      <c r="H803" s="197">
        <v>500</v>
      </c>
      <c r="I803" s="197">
        <v>500</v>
      </c>
    </row>
    <row r="804" spans="1:9" ht="63">
      <c r="A804" s="372" t="s">
        <v>755</v>
      </c>
      <c r="B804" s="372" t="s">
        <v>60</v>
      </c>
      <c r="C804" s="372" t="s">
        <v>203</v>
      </c>
      <c r="D804" s="372" t="s">
        <v>204</v>
      </c>
      <c r="E804" s="372" t="s">
        <v>1070</v>
      </c>
      <c r="F804" s="372" t="s">
        <v>268</v>
      </c>
      <c r="G804" s="197">
        <v>1152</v>
      </c>
      <c r="H804" s="197">
        <v>500</v>
      </c>
      <c r="I804" s="197">
        <v>500</v>
      </c>
    </row>
    <row r="805" spans="1:9" ht="31.5">
      <c r="A805" s="372" t="s">
        <v>531</v>
      </c>
      <c r="B805" s="372" t="s">
        <v>60</v>
      </c>
      <c r="C805" s="372" t="s">
        <v>196</v>
      </c>
      <c r="D805" s="373"/>
      <c r="E805" s="373"/>
      <c r="F805" s="373"/>
      <c r="G805" s="197">
        <v>1542.42</v>
      </c>
      <c r="H805" s="197">
        <v>1540.5920000000001</v>
      </c>
      <c r="I805" s="197">
        <v>1540.5920000000001</v>
      </c>
    </row>
    <row r="806" spans="1:9" ht="15.75">
      <c r="A806" s="372" t="s">
        <v>532</v>
      </c>
      <c r="B806" s="372" t="s">
        <v>60</v>
      </c>
      <c r="C806" s="372" t="s">
        <v>196</v>
      </c>
      <c r="D806" s="372" t="s">
        <v>200</v>
      </c>
      <c r="E806" s="373"/>
      <c r="F806" s="373"/>
      <c r="G806" s="197">
        <v>1542.42</v>
      </c>
      <c r="H806" s="197">
        <v>1540.5920000000001</v>
      </c>
      <c r="I806" s="197">
        <v>1540.5920000000001</v>
      </c>
    </row>
    <row r="807" spans="1:9" ht="78.75">
      <c r="A807" s="372" t="s">
        <v>484</v>
      </c>
      <c r="B807" s="372" t="s">
        <v>60</v>
      </c>
      <c r="C807" s="372" t="s">
        <v>196</v>
      </c>
      <c r="D807" s="372" t="s">
        <v>200</v>
      </c>
      <c r="E807" s="372" t="s">
        <v>396</v>
      </c>
      <c r="F807" s="373"/>
      <c r="G807" s="197">
        <v>1542.42</v>
      </c>
      <c r="H807" s="197">
        <v>1540.5920000000001</v>
      </c>
      <c r="I807" s="197">
        <v>1540.5920000000001</v>
      </c>
    </row>
    <row r="808" spans="1:9" ht="63">
      <c r="A808" s="372" t="s">
        <v>1124</v>
      </c>
      <c r="B808" s="372" t="s">
        <v>60</v>
      </c>
      <c r="C808" s="372" t="s">
        <v>196</v>
      </c>
      <c r="D808" s="372" t="s">
        <v>200</v>
      </c>
      <c r="E808" s="372" t="s">
        <v>397</v>
      </c>
      <c r="F808" s="373"/>
      <c r="G808" s="197">
        <v>1542.42</v>
      </c>
      <c r="H808" s="197">
        <v>1540.5920000000001</v>
      </c>
      <c r="I808" s="197">
        <v>1540.5920000000001</v>
      </c>
    </row>
    <row r="809" spans="1:9" ht="63">
      <c r="A809" s="372" t="s">
        <v>1151</v>
      </c>
      <c r="B809" s="372" t="s">
        <v>60</v>
      </c>
      <c r="C809" s="372" t="s">
        <v>196</v>
      </c>
      <c r="D809" s="372" t="s">
        <v>200</v>
      </c>
      <c r="E809" s="372" t="s">
        <v>1093</v>
      </c>
      <c r="F809" s="373"/>
      <c r="G809" s="197">
        <v>1542.42</v>
      </c>
      <c r="H809" s="197">
        <v>1540.5920000000001</v>
      </c>
      <c r="I809" s="197">
        <v>1540.5920000000001</v>
      </c>
    </row>
    <row r="810" spans="1:9" ht="47.25">
      <c r="A810" s="372" t="s">
        <v>880</v>
      </c>
      <c r="B810" s="372" t="s">
        <v>60</v>
      </c>
      <c r="C810" s="372" t="s">
        <v>196</v>
      </c>
      <c r="D810" s="372" t="s">
        <v>200</v>
      </c>
      <c r="E810" s="372" t="s">
        <v>1094</v>
      </c>
      <c r="F810" s="373"/>
      <c r="G810" s="197">
        <v>36.804000000000002</v>
      </c>
      <c r="H810" s="197">
        <v>36.804000000000002</v>
      </c>
      <c r="I810" s="197">
        <v>36.804000000000002</v>
      </c>
    </row>
    <row r="811" spans="1:9" ht="63">
      <c r="A811" s="372" t="s">
        <v>755</v>
      </c>
      <c r="B811" s="372" t="s">
        <v>60</v>
      </c>
      <c r="C811" s="372" t="s">
        <v>196</v>
      </c>
      <c r="D811" s="372" t="s">
        <v>200</v>
      </c>
      <c r="E811" s="372" t="s">
        <v>1094</v>
      </c>
      <c r="F811" s="372" t="s">
        <v>268</v>
      </c>
      <c r="G811" s="197">
        <v>36.804000000000002</v>
      </c>
      <c r="H811" s="197">
        <v>36.804000000000002</v>
      </c>
      <c r="I811" s="197">
        <v>36.804000000000002</v>
      </c>
    </row>
    <row r="812" spans="1:9" ht="47.25">
      <c r="A812" s="372" t="s">
        <v>1152</v>
      </c>
      <c r="B812" s="372" t="s">
        <v>60</v>
      </c>
      <c r="C812" s="372" t="s">
        <v>196</v>
      </c>
      <c r="D812" s="372" t="s">
        <v>200</v>
      </c>
      <c r="E812" s="372" t="s">
        <v>1096</v>
      </c>
      <c r="F812" s="373"/>
      <c r="G812" s="197">
        <v>1505.616</v>
      </c>
      <c r="H812" s="197">
        <v>1503.788</v>
      </c>
      <c r="I812" s="197">
        <v>1503.788</v>
      </c>
    </row>
    <row r="813" spans="1:9" ht="63">
      <c r="A813" s="372" t="s">
        <v>755</v>
      </c>
      <c r="B813" s="372" t="s">
        <v>60</v>
      </c>
      <c r="C813" s="372" t="s">
        <v>196</v>
      </c>
      <c r="D813" s="372" t="s">
        <v>200</v>
      </c>
      <c r="E813" s="372" t="s">
        <v>1096</v>
      </c>
      <c r="F813" s="372" t="s">
        <v>268</v>
      </c>
      <c r="G813" s="197">
        <v>1505.616</v>
      </c>
      <c r="H813" s="197">
        <v>1503.788</v>
      </c>
      <c r="I813" s="197">
        <v>1503.788</v>
      </c>
    </row>
    <row r="814" spans="1:9" ht="47.25">
      <c r="A814" s="372" t="s">
        <v>498</v>
      </c>
      <c r="B814" s="372" t="s">
        <v>60</v>
      </c>
      <c r="C814" s="372" t="s">
        <v>6</v>
      </c>
      <c r="D814" s="373"/>
      <c r="E814" s="373"/>
      <c r="F814" s="373"/>
      <c r="G814" s="197">
        <v>17736.21891</v>
      </c>
      <c r="H814" s="197">
        <v>20219.671259999999</v>
      </c>
      <c r="I814" s="197">
        <v>17482.7</v>
      </c>
    </row>
    <row r="815" spans="1:9" ht="47.25">
      <c r="A815" s="372" t="s">
        <v>499</v>
      </c>
      <c r="B815" s="372" t="s">
        <v>60</v>
      </c>
      <c r="C815" s="372" t="s">
        <v>6</v>
      </c>
      <c r="D815" s="372" t="s">
        <v>200</v>
      </c>
      <c r="E815" s="373"/>
      <c r="F815" s="373"/>
      <c r="G815" s="197">
        <v>17736.21891</v>
      </c>
      <c r="H815" s="197">
        <v>20219.671259999999</v>
      </c>
      <c r="I815" s="197">
        <v>17482.7</v>
      </c>
    </row>
    <row r="816" spans="1:9" ht="78.75">
      <c r="A816" s="372" t="s">
        <v>496</v>
      </c>
      <c r="B816" s="372" t="s">
        <v>60</v>
      </c>
      <c r="C816" s="372" t="s">
        <v>6</v>
      </c>
      <c r="D816" s="372" t="s">
        <v>200</v>
      </c>
      <c r="E816" s="372" t="s">
        <v>390</v>
      </c>
      <c r="F816" s="373"/>
      <c r="G816" s="197">
        <v>17736.21891</v>
      </c>
      <c r="H816" s="197">
        <v>20219.671259999999</v>
      </c>
      <c r="I816" s="197">
        <v>17482.7</v>
      </c>
    </row>
    <row r="817" spans="1:9" ht="47.25">
      <c r="A817" s="372" t="s">
        <v>1153</v>
      </c>
      <c r="B817" s="372" t="s">
        <v>60</v>
      </c>
      <c r="C817" s="372" t="s">
        <v>6</v>
      </c>
      <c r="D817" s="372" t="s">
        <v>200</v>
      </c>
      <c r="E817" s="372" t="s">
        <v>393</v>
      </c>
      <c r="F817" s="373"/>
      <c r="G817" s="197">
        <v>17736.21891</v>
      </c>
      <c r="H817" s="197">
        <v>20219.671259999999</v>
      </c>
      <c r="I817" s="197">
        <v>17482.7</v>
      </c>
    </row>
    <row r="818" spans="1:9" ht="63">
      <c r="A818" s="372" t="s">
        <v>1487</v>
      </c>
      <c r="B818" s="372" t="s">
        <v>60</v>
      </c>
      <c r="C818" s="372" t="s">
        <v>6</v>
      </c>
      <c r="D818" s="372" t="s">
        <v>200</v>
      </c>
      <c r="E818" s="372" t="s">
        <v>394</v>
      </c>
      <c r="F818" s="373"/>
      <c r="G818" s="197">
        <v>17736.21891</v>
      </c>
      <c r="H818" s="197">
        <v>20219.671259999999</v>
      </c>
      <c r="I818" s="197">
        <v>17482.7</v>
      </c>
    </row>
    <row r="819" spans="1:9" ht="47.25">
      <c r="A819" s="372" t="s">
        <v>1154</v>
      </c>
      <c r="B819" s="372" t="s">
        <v>60</v>
      </c>
      <c r="C819" s="372" t="s">
        <v>6</v>
      </c>
      <c r="D819" s="372" t="s">
        <v>200</v>
      </c>
      <c r="E819" s="372" t="s">
        <v>395</v>
      </c>
      <c r="F819" s="373"/>
      <c r="G819" s="197">
        <v>17736.21891</v>
      </c>
      <c r="H819" s="197">
        <v>20219.671259999999</v>
      </c>
      <c r="I819" s="197">
        <v>17482.7</v>
      </c>
    </row>
    <row r="820" spans="1:9" ht="47.25">
      <c r="A820" s="372" t="s">
        <v>788</v>
      </c>
      <c r="B820" s="372" t="s">
        <v>60</v>
      </c>
      <c r="C820" s="372" t="s">
        <v>6</v>
      </c>
      <c r="D820" s="372" t="s">
        <v>200</v>
      </c>
      <c r="E820" s="372" t="s">
        <v>395</v>
      </c>
      <c r="F820" s="372" t="s">
        <v>269</v>
      </c>
      <c r="G820" s="197">
        <v>17736.21891</v>
      </c>
      <c r="H820" s="197">
        <v>20219.671259999999</v>
      </c>
      <c r="I820" s="197">
        <v>17482.7</v>
      </c>
    </row>
    <row r="821" spans="1:9" ht="31.5">
      <c r="A821" s="372" t="s">
        <v>127</v>
      </c>
      <c r="B821" s="372" t="s">
        <v>128</v>
      </c>
      <c r="C821" s="373"/>
      <c r="D821" s="373"/>
      <c r="E821" s="373"/>
      <c r="F821" s="373"/>
      <c r="G821" s="197">
        <v>7847.59</v>
      </c>
      <c r="H821" s="197">
        <v>7827.59</v>
      </c>
      <c r="I821" s="197">
        <v>7827.59</v>
      </c>
    </row>
    <row r="822" spans="1:9" ht="31.5">
      <c r="A822" s="372" t="s">
        <v>468</v>
      </c>
      <c r="B822" s="372" t="s">
        <v>128</v>
      </c>
      <c r="C822" s="372" t="s">
        <v>200</v>
      </c>
      <c r="D822" s="373"/>
      <c r="E822" s="373"/>
      <c r="F822" s="373"/>
      <c r="G822" s="197">
        <v>7847.59</v>
      </c>
      <c r="H822" s="197">
        <v>7827.59</v>
      </c>
      <c r="I822" s="197">
        <v>7827.59</v>
      </c>
    </row>
    <row r="823" spans="1:9" ht="94.5">
      <c r="A823" s="372" t="s">
        <v>533</v>
      </c>
      <c r="B823" s="372" t="s">
        <v>128</v>
      </c>
      <c r="C823" s="372" t="s">
        <v>200</v>
      </c>
      <c r="D823" s="372" t="s">
        <v>202</v>
      </c>
      <c r="E823" s="373"/>
      <c r="F823" s="373"/>
      <c r="G823" s="197">
        <v>7847.59</v>
      </c>
      <c r="H823" s="197">
        <v>7827.59</v>
      </c>
      <c r="I823" s="197">
        <v>7827.59</v>
      </c>
    </row>
    <row r="824" spans="1:9" ht="63">
      <c r="A824" s="372" t="s">
        <v>534</v>
      </c>
      <c r="B824" s="372" t="s">
        <v>128</v>
      </c>
      <c r="C824" s="372" t="s">
        <v>200</v>
      </c>
      <c r="D824" s="372" t="s">
        <v>202</v>
      </c>
      <c r="E824" s="372" t="s">
        <v>406</v>
      </c>
      <c r="F824" s="373"/>
      <c r="G824" s="197">
        <v>7847.59</v>
      </c>
      <c r="H824" s="197">
        <v>7827.59</v>
      </c>
      <c r="I824" s="197">
        <v>7827.59</v>
      </c>
    </row>
    <row r="825" spans="1:9" ht="31.5">
      <c r="A825" s="372" t="s">
        <v>535</v>
      </c>
      <c r="B825" s="372" t="s">
        <v>128</v>
      </c>
      <c r="C825" s="372" t="s">
        <v>200</v>
      </c>
      <c r="D825" s="372" t="s">
        <v>202</v>
      </c>
      <c r="E825" s="372" t="s">
        <v>407</v>
      </c>
      <c r="F825" s="373"/>
      <c r="G825" s="197">
        <v>7778.64</v>
      </c>
      <c r="H825" s="197">
        <v>7758.64</v>
      </c>
      <c r="I825" s="197">
        <v>7758.64</v>
      </c>
    </row>
    <row r="826" spans="1:9" ht="31.5">
      <c r="A826" s="372" t="s">
        <v>1446</v>
      </c>
      <c r="B826" s="372" t="s">
        <v>128</v>
      </c>
      <c r="C826" s="372" t="s">
        <v>200</v>
      </c>
      <c r="D826" s="372" t="s">
        <v>202</v>
      </c>
      <c r="E826" s="372" t="s">
        <v>407</v>
      </c>
      <c r="F826" s="373"/>
      <c r="G826" s="197">
        <v>7778.64</v>
      </c>
      <c r="H826" s="197">
        <v>7758.64</v>
      </c>
      <c r="I826" s="197">
        <v>7758.64</v>
      </c>
    </row>
    <row r="827" spans="1:9" ht="110.25">
      <c r="A827" s="372" t="s">
        <v>1115</v>
      </c>
      <c r="B827" s="372" t="s">
        <v>128</v>
      </c>
      <c r="C827" s="372" t="s">
        <v>200</v>
      </c>
      <c r="D827" s="372" t="s">
        <v>202</v>
      </c>
      <c r="E827" s="372" t="s">
        <v>1102</v>
      </c>
      <c r="F827" s="373"/>
      <c r="G827" s="197">
        <v>25</v>
      </c>
      <c r="H827" s="197">
        <v>25</v>
      </c>
      <c r="I827" s="197">
        <v>25</v>
      </c>
    </row>
    <row r="828" spans="1:9" ht="63">
      <c r="A828" s="372" t="s">
        <v>758</v>
      </c>
      <c r="B828" s="372" t="s">
        <v>128</v>
      </c>
      <c r="C828" s="372" t="s">
        <v>200</v>
      </c>
      <c r="D828" s="372" t="s">
        <v>202</v>
      </c>
      <c r="E828" s="372" t="s">
        <v>1102</v>
      </c>
      <c r="F828" s="372" t="s">
        <v>266</v>
      </c>
      <c r="G828" s="197">
        <v>25</v>
      </c>
      <c r="H828" s="197">
        <v>25</v>
      </c>
      <c r="I828" s="197">
        <v>25</v>
      </c>
    </row>
    <row r="829" spans="1:9" ht="47.25">
      <c r="A829" s="372" t="s">
        <v>821</v>
      </c>
      <c r="B829" s="372" t="s">
        <v>128</v>
      </c>
      <c r="C829" s="372" t="s">
        <v>200</v>
      </c>
      <c r="D829" s="372" t="s">
        <v>202</v>
      </c>
      <c r="E829" s="372" t="s">
        <v>408</v>
      </c>
      <c r="F829" s="373"/>
      <c r="G829" s="197">
        <v>1137.1780000000001</v>
      </c>
      <c r="H829" s="197">
        <v>1137.1780000000001</v>
      </c>
      <c r="I829" s="197">
        <v>1137.1780000000001</v>
      </c>
    </row>
    <row r="830" spans="1:9" ht="141.75">
      <c r="A830" s="372" t="s">
        <v>771</v>
      </c>
      <c r="B830" s="372" t="s">
        <v>128</v>
      </c>
      <c r="C830" s="372" t="s">
        <v>200</v>
      </c>
      <c r="D830" s="372" t="s">
        <v>202</v>
      </c>
      <c r="E830" s="372" t="s">
        <v>408</v>
      </c>
      <c r="F830" s="372" t="s">
        <v>265</v>
      </c>
      <c r="G830" s="197">
        <v>1137.1780000000001</v>
      </c>
      <c r="H830" s="197">
        <v>1137.1780000000001</v>
      </c>
      <c r="I830" s="197">
        <v>1137.1780000000001</v>
      </c>
    </row>
    <row r="831" spans="1:9" ht="63">
      <c r="A831" s="372" t="s">
        <v>822</v>
      </c>
      <c r="B831" s="372" t="s">
        <v>128</v>
      </c>
      <c r="C831" s="372" t="s">
        <v>200</v>
      </c>
      <c r="D831" s="372" t="s">
        <v>202</v>
      </c>
      <c r="E831" s="372" t="s">
        <v>409</v>
      </c>
      <c r="F831" s="373"/>
      <c r="G831" s="197">
        <v>5736.4560000000001</v>
      </c>
      <c r="H831" s="197">
        <v>5716.4560000000001</v>
      </c>
      <c r="I831" s="197">
        <v>5716.4560000000001</v>
      </c>
    </row>
    <row r="832" spans="1:9" ht="141.75">
      <c r="A832" s="372" t="s">
        <v>771</v>
      </c>
      <c r="B832" s="372" t="s">
        <v>128</v>
      </c>
      <c r="C832" s="372" t="s">
        <v>200</v>
      </c>
      <c r="D832" s="372" t="s">
        <v>202</v>
      </c>
      <c r="E832" s="372" t="s">
        <v>409</v>
      </c>
      <c r="F832" s="372" t="s">
        <v>265</v>
      </c>
      <c r="G832" s="197">
        <v>3503.232</v>
      </c>
      <c r="H832" s="197">
        <v>3503.232</v>
      </c>
      <c r="I832" s="197">
        <v>3503.232</v>
      </c>
    </row>
    <row r="833" spans="1:9" ht="63">
      <c r="A833" s="372" t="s">
        <v>758</v>
      </c>
      <c r="B833" s="372" t="s">
        <v>128</v>
      </c>
      <c r="C833" s="372" t="s">
        <v>200</v>
      </c>
      <c r="D833" s="372" t="s">
        <v>202</v>
      </c>
      <c r="E833" s="372" t="s">
        <v>409</v>
      </c>
      <c r="F833" s="372" t="s">
        <v>266</v>
      </c>
      <c r="G833" s="197">
        <v>2138.924</v>
      </c>
      <c r="H833" s="197">
        <v>2118.924</v>
      </c>
      <c r="I833" s="197">
        <v>2118.924</v>
      </c>
    </row>
    <row r="834" spans="1:9" ht="31.5">
      <c r="A834" s="372" t="s">
        <v>772</v>
      </c>
      <c r="B834" s="372" t="s">
        <v>128</v>
      </c>
      <c r="C834" s="372" t="s">
        <v>200</v>
      </c>
      <c r="D834" s="372" t="s">
        <v>202</v>
      </c>
      <c r="E834" s="372" t="s">
        <v>409</v>
      </c>
      <c r="F834" s="372" t="s">
        <v>267</v>
      </c>
      <c r="G834" s="197">
        <v>94.3</v>
      </c>
      <c r="H834" s="197">
        <v>94.3</v>
      </c>
      <c r="I834" s="197">
        <v>94.3</v>
      </c>
    </row>
    <row r="835" spans="1:9" ht="63">
      <c r="A835" s="372" t="s">
        <v>823</v>
      </c>
      <c r="B835" s="372" t="s">
        <v>128</v>
      </c>
      <c r="C835" s="372" t="s">
        <v>200</v>
      </c>
      <c r="D835" s="372" t="s">
        <v>202</v>
      </c>
      <c r="E835" s="372" t="s">
        <v>410</v>
      </c>
      <c r="F835" s="373"/>
      <c r="G835" s="197">
        <v>880.00599999999997</v>
      </c>
      <c r="H835" s="197">
        <v>880.00599999999997</v>
      </c>
      <c r="I835" s="197">
        <v>880.00599999999997</v>
      </c>
    </row>
    <row r="836" spans="1:9" ht="141.75">
      <c r="A836" s="372" t="s">
        <v>771</v>
      </c>
      <c r="B836" s="372" t="s">
        <v>128</v>
      </c>
      <c r="C836" s="372" t="s">
        <v>200</v>
      </c>
      <c r="D836" s="372" t="s">
        <v>202</v>
      </c>
      <c r="E836" s="372" t="s">
        <v>410</v>
      </c>
      <c r="F836" s="372" t="s">
        <v>265</v>
      </c>
      <c r="G836" s="197">
        <v>880.00599999999997</v>
      </c>
      <c r="H836" s="197">
        <v>880.00599999999997</v>
      </c>
      <c r="I836" s="197">
        <v>880.00599999999997</v>
      </c>
    </row>
    <row r="837" spans="1:9" ht="31.5">
      <c r="A837" s="372" t="s">
        <v>509</v>
      </c>
      <c r="B837" s="372" t="s">
        <v>128</v>
      </c>
      <c r="C837" s="372" t="s">
        <v>200</v>
      </c>
      <c r="D837" s="372" t="s">
        <v>202</v>
      </c>
      <c r="E837" s="372" t="s">
        <v>411</v>
      </c>
      <c r="F837" s="373"/>
      <c r="G837" s="197">
        <v>68.95</v>
      </c>
      <c r="H837" s="197">
        <v>68.95</v>
      </c>
      <c r="I837" s="197">
        <v>68.95</v>
      </c>
    </row>
    <row r="838" spans="1:9" ht="31.5">
      <c r="A838" s="372" t="s">
        <v>1441</v>
      </c>
      <c r="B838" s="372" t="s">
        <v>128</v>
      </c>
      <c r="C838" s="372" t="s">
        <v>200</v>
      </c>
      <c r="D838" s="372" t="s">
        <v>202</v>
      </c>
      <c r="E838" s="372" t="s">
        <v>411</v>
      </c>
      <c r="F838" s="373"/>
      <c r="G838" s="197">
        <v>68.95</v>
      </c>
      <c r="H838" s="197">
        <v>68.95</v>
      </c>
      <c r="I838" s="197">
        <v>68.95</v>
      </c>
    </row>
    <row r="839" spans="1:9" ht="47.25">
      <c r="A839" s="372" t="s">
        <v>824</v>
      </c>
      <c r="B839" s="372" t="s">
        <v>128</v>
      </c>
      <c r="C839" s="372" t="s">
        <v>200</v>
      </c>
      <c r="D839" s="372" t="s">
        <v>202</v>
      </c>
      <c r="E839" s="372" t="s">
        <v>412</v>
      </c>
      <c r="F839" s="373"/>
      <c r="G839" s="197">
        <v>68.95</v>
      </c>
      <c r="H839" s="197">
        <v>68.95</v>
      </c>
      <c r="I839" s="197">
        <v>68.95</v>
      </c>
    </row>
    <row r="840" spans="1:9" ht="63">
      <c r="A840" s="372" t="s">
        <v>758</v>
      </c>
      <c r="B840" s="372" t="s">
        <v>128</v>
      </c>
      <c r="C840" s="372" t="s">
        <v>200</v>
      </c>
      <c r="D840" s="372" t="s">
        <v>202</v>
      </c>
      <c r="E840" s="372" t="s">
        <v>412</v>
      </c>
      <c r="F840" s="372" t="s">
        <v>266</v>
      </c>
      <c r="G840" s="197">
        <v>0</v>
      </c>
      <c r="H840" s="197">
        <v>68.95</v>
      </c>
      <c r="I840" s="197">
        <v>68.95</v>
      </c>
    </row>
    <row r="841" spans="1:9" ht="31.5">
      <c r="A841" s="372" t="s">
        <v>769</v>
      </c>
      <c r="B841" s="372" t="s">
        <v>128</v>
      </c>
      <c r="C841" s="372" t="s">
        <v>200</v>
      </c>
      <c r="D841" s="372" t="s">
        <v>202</v>
      </c>
      <c r="E841" s="372" t="s">
        <v>412</v>
      </c>
      <c r="F841" s="372" t="s">
        <v>271</v>
      </c>
      <c r="G841" s="197">
        <v>68.95</v>
      </c>
      <c r="H841" s="197">
        <v>0</v>
      </c>
      <c r="I841" s="197">
        <v>0</v>
      </c>
    </row>
    <row r="842" spans="1:9" ht="31.5">
      <c r="A842" s="372" t="s">
        <v>129</v>
      </c>
      <c r="B842" s="372" t="s">
        <v>130</v>
      </c>
      <c r="C842" s="373"/>
      <c r="D842" s="373"/>
      <c r="E842" s="373"/>
      <c r="F842" s="373"/>
      <c r="G842" s="197">
        <v>2025.048</v>
      </c>
      <c r="H842" s="197">
        <v>2020.048</v>
      </c>
      <c r="I842" s="197">
        <v>2020.048</v>
      </c>
    </row>
    <row r="843" spans="1:9" ht="31.5">
      <c r="A843" s="372" t="s">
        <v>468</v>
      </c>
      <c r="B843" s="372" t="s">
        <v>130</v>
      </c>
      <c r="C843" s="372" t="s">
        <v>200</v>
      </c>
      <c r="D843" s="373"/>
      <c r="E843" s="373"/>
      <c r="F843" s="373"/>
      <c r="G843" s="197">
        <v>2025.048</v>
      </c>
      <c r="H843" s="197">
        <v>2020.048</v>
      </c>
      <c r="I843" s="197">
        <v>2020.048</v>
      </c>
    </row>
    <row r="844" spans="1:9" ht="78.75">
      <c r="A844" s="372" t="s">
        <v>495</v>
      </c>
      <c r="B844" s="372" t="s">
        <v>130</v>
      </c>
      <c r="C844" s="372" t="s">
        <v>200</v>
      </c>
      <c r="D844" s="372" t="s">
        <v>204</v>
      </c>
      <c r="E844" s="373"/>
      <c r="F844" s="373"/>
      <c r="G844" s="197">
        <v>2025.048</v>
      </c>
      <c r="H844" s="197">
        <v>2020.048</v>
      </c>
      <c r="I844" s="197">
        <v>2020.048</v>
      </c>
    </row>
    <row r="845" spans="1:9" ht="78.75">
      <c r="A845" s="372" t="s">
        <v>536</v>
      </c>
      <c r="B845" s="372" t="s">
        <v>130</v>
      </c>
      <c r="C845" s="372" t="s">
        <v>200</v>
      </c>
      <c r="D845" s="372" t="s">
        <v>204</v>
      </c>
      <c r="E845" s="372" t="s">
        <v>413</v>
      </c>
      <c r="F845" s="373"/>
      <c r="G845" s="197">
        <v>2025.048</v>
      </c>
      <c r="H845" s="197">
        <v>2020.048</v>
      </c>
      <c r="I845" s="197">
        <v>2020.048</v>
      </c>
    </row>
    <row r="846" spans="1:9" ht="47.25">
      <c r="A846" s="372" t="s">
        <v>537</v>
      </c>
      <c r="B846" s="372" t="s">
        <v>130</v>
      </c>
      <c r="C846" s="372" t="s">
        <v>200</v>
      </c>
      <c r="D846" s="372" t="s">
        <v>204</v>
      </c>
      <c r="E846" s="372" t="s">
        <v>414</v>
      </c>
      <c r="F846" s="373"/>
      <c r="G846" s="197">
        <v>2025.048</v>
      </c>
      <c r="H846" s="197">
        <v>2020.048</v>
      </c>
      <c r="I846" s="197">
        <v>2020.048</v>
      </c>
    </row>
    <row r="847" spans="1:9" ht="47.25">
      <c r="A847" s="372" t="s">
        <v>1447</v>
      </c>
      <c r="B847" s="372" t="s">
        <v>130</v>
      </c>
      <c r="C847" s="372" t="s">
        <v>200</v>
      </c>
      <c r="D847" s="372" t="s">
        <v>204</v>
      </c>
      <c r="E847" s="372" t="s">
        <v>414</v>
      </c>
      <c r="F847" s="373"/>
      <c r="G847" s="197">
        <v>2025.048</v>
      </c>
      <c r="H847" s="197">
        <v>2020.048</v>
      </c>
      <c r="I847" s="197">
        <v>2020.048</v>
      </c>
    </row>
    <row r="848" spans="1:9" ht="110.25">
      <c r="A848" s="372" t="s">
        <v>1115</v>
      </c>
      <c r="B848" s="372" t="s">
        <v>130</v>
      </c>
      <c r="C848" s="372" t="s">
        <v>200</v>
      </c>
      <c r="D848" s="372" t="s">
        <v>204</v>
      </c>
      <c r="E848" s="372" t="s">
        <v>1103</v>
      </c>
      <c r="F848" s="373"/>
      <c r="G848" s="197">
        <v>12</v>
      </c>
      <c r="H848" s="197">
        <v>12</v>
      </c>
      <c r="I848" s="197">
        <v>12</v>
      </c>
    </row>
    <row r="849" spans="1:9" ht="63">
      <c r="A849" s="372" t="s">
        <v>758</v>
      </c>
      <c r="B849" s="372" t="s">
        <v>130</v>
      </c>
      <c r="C849" s="372" t="s">
        <v>200</v>
      </c>
      <c r="D849" s="372" t="s">
        <v>204</v>
      </c>
      <c r="E849" s="372" t="s">
        <v>1103</v>
      </c>
      <c r="F849" s="372" t="s">
        <v>266</v>
      </c>
      <c r="G849" s="197">
        <v>12</v>
      </c>
      <c r="H849" s="197">
        <v>12</v>
      </c>
      <c r="I849" s="197">
        <v>12</v>
      </c>
    </row>
    <row r="850" spans="1:9" ht="63">
      <c r="A850" s="372" t="s">
        <v>825</v>
      </c>
      <c r="B850" s="372" t="s">
        <v>130</v>
      </c>
      <c r="C850" s="372" t="s">
        <v>200</v>
      </c>
      <c r="D850" s="372" t="s">
        <v>204</v>
      </c>
      <c r="E850" s="372" t="s">
        <v>415</v>
      </c>
      <c r="F850" s="373"/>
      <c r="G850" s="197">
        <v>699.51800000000003</v>
      </c>
      <c r="H850" s="197">
        <v>699.51800000000003</v>
      </c>
      <c r="I850" s="197">
        <v>699.51800000000003</v>
      </c>
    </row>
    <row r="851" spans="1:9" ht="141.75">
      <c r="A851" s="372" t="s">
        <v>771</v>
      </c>
      <c r="B851" s="372" t="s">
        <v>130</v>
      </c>
      <c r="C851" s="372" t="s">
        <v>200</v>
      </c>
      <c r="D851" s="372" t="s">
        <v>204</v>
      </c>
      <c r="E851" s="372" t="s">
        <v>415</v>
      </c>
      <c r="F851" s="372" t="s">
        <v>265</v>
      </c>
      <c r="G851" s="197">
        <v>699.51800000000003</v>
      </c>
      <c r="H851" s="197">
        <v>699.51800000000003</v>
      </c>
      <c r="I851" s="197">
        <v>699.51800000000003</v>
      </c>
    </row>
    <row r="852" spans="1:9" ht="78.75">
      <c r="A852" s="372" t="s">
        <v>826</v>
      </c>
      <c r="B852" s="372" t="s">
        <v>130</v>
      </c>
      <c r="C852" s="372" t="s">
        <v>200</v>
      </c>
      <c r="D852" s="372" t="s">
        <v>204</v>
      </c>
      <c r="E852" s="372" t="s">
        <v>416</v>
      </c>
      <c r="F852" s="373"/>
      <c r="G852" s="197">
        <v>1313.53</v>
      </c>
      <c r="H852" s="197">
        <v>1308.53</v>
      </c>
      <c r="I852" s="197">
        <v>1308.53</v>
      </c>
    </row>
    <row r="853" spans="1:9" ht="141.75">
      <c r="A853" s="372" t="s">
        <v>771</v>
      </c>
      <c r="B853" s="372" t="s">
        <v>130</v>
      </c>
      <c r="C853" s="372" t="s">
        <v>200</v>
      </c>
      <c r="D853" s="372" t="s">
        <v>204</v>
      </c>
      <c r="E853" s="372" t="s">
        <v>416</v>
      </c>
      <c r="F853" s="372" t="s">
        <v>265</v>
      </c>
      <c r="G853" s="197">
        <v>1106.04</v>
      </c>
      <c r="H853" s="197">
        <v>1106.04</v>
      </c>
      <c r="I853" s="197">
        <v>1106.04</v>
      </c>
    </row>
    <row r="854" spans="1:9" ht="63">
      <c r="A854" s="372" t="s">
        <v>758</v>
      </c>
      <c r="B854" s="372" t="s">
        <v>130</v>
      </c>
      <c r="C854" s="372" t="s">
        <v>200</v>
      </c>
      <c r="D854" s="372" t="s">
        <v>204</v>
      </c>
      <c r="E854" s="372" t="s">
        <v>416</v>
      </c>
      <c r="F854" s="372" t="s">
        <v>266</v>
      </c>
      <c r="G854" s="197">
        <v>196.49</v>
      </c>
      <c r="H854" s="197">
        <v>191.49</v>
      </c>
      <c r="I854" s="197">
        <v>191.49</v>
      </c>
    </row>
    <row r="855" spans="1:9" ht="31.5">
      <c r="A855" s="372" t="s">
        <v>772</v>
      </c>
      <c r="B855" s="372" t="s">
        <v>130</v>
      </c>
      <c r="C855" s="372" t="s">
        <v>200</v>
      </c>
      <c r="D855" s="372" t="s">
        <v>204</v>
      </c>
      <c r="E855" s="372" t="s">
        <v>416</v>
      </c>
      <c r="F855" s="372" t="s">
        <v>267</v>
      </c>
      <c r="G855" s="197">
        <v>11</v>
      </c>
      <c r="H855" s="197">
        <v>11</v>
      </c>
      <c r="I855" s="197">
        <v>11</v>
      </c>
    </row>
    <row r="856" spans="1:9" ht="63">
      <c r="A856" s="372" t="s">
        <v>284</v>
      </c>
      <c r="B856" s="372" t="s">
        <v>41</v>
      </c>
      <c r="C856" s="373"/>
      <c r="D856" s="373"/>
      <c r="E856" s="373"/>
      <c r="F856" s="373"/>
      <c r="G856" s="197">
        <v>12400.11666</v>
      </c>
      <c r="H856" s="197">
        <v>10975.182000000001</v>
      </c>
      <c r="I856" s="197">
        <v>10975.182000000001</v>
      </c>
    </row>
    <row r="857" spans="1:9" ht="31.5">
      <c r="A857" s="372" t="s">
        <v>468</v>
      </c>
      <c r="B857" s="372" t="s">
        <v>41</v>
      </c>
      <c r="C857" s="372" t="s">
        <v>200</v>
      </c>
      <c r="D857" s="373"/>
      <c r="E857" s="373"/>
      <c r="F857" s="373"/>
      <c r="G857" s="197">
        <v>12400.11666</v>
      </c>
      <c r="H857" s="197">
        <v>10975.182000000001</v>
      </c>
      <c r="I857" s="197">
        <v>10975.182000000001</v>
      </c>
    </row>
    <row r="858" spans="1:9" ht="31.5">
      <c r="A858" s="372" t="s">
        <v>469</v>
      </c>
      <c r="B858" s="372" t="s">
        <v>41</v>
      </c>
      <c r="C858" s="372" t="s">
        <v>200</v>
      </c>
      <c r="D858" s="372" t="s">
        <v>6</v>
      </c>
      <c r="E858" s="373"/>
      <c r="F858" s="373"/>
      <c r="G858" s="197">
        <v>12400.11666</v>
      </c>
      <c r="H858" s="197">
        <v>10975.182000000001</v>
      </c>
      <c r="I858" s="197">
        <v>10975.182000000001</v>
      </c>
    </row>
    <row r="859" spans="1:9" ht="110.25">
      <c r="A859" s="372" t="s">
        <v>1155</v>
      </c>
      <c r="B859" s="372" t="s">
        <v>41</v>
      </c>
      <c r="C859" s="372" t="s">
        <v>200</v>
      </c>
      <c r="D859" s="372" t="s">
        <v>6</v>
      </c>
      <c r="E859" s="372" t="s">
        <v>377</v>
      </c>
      <c r="F859" s="373"/>
      <c r="G859" s="197">
        <v>1750</v>
      </c>
      <c r="H859" s="197">
        <v>1550</v>
      </c>
      <c r="I859" s="197">
        <v>1550</v>
      </c>
    </row>
    <row r="860" spans="1:9" ht="110.25">
      <c r="A860" s="372" t="s">
        <v>1443</v>
      </c>
      <c r="B860" s="372" t="s">
        <v>41</v>
      </c>
      <c r="C860" s="372" t="s">
        <v>200</v>
      </c>
      <c r="D860" s="372" t="s">
        <v>6</v>
      </c>
      <c r="E860" s="372" t="s">
        <v>377</v>
      </c>
      <c r="F860" s="373"/>
      <c r="G860" s="197">
        <v>1750</v>
      </c>
      <c r="H860" s="197">
        <v>1550</v>
      </c>
      <c r="I860" s="197">
        <v>1550</v>
      </c>
    </row>
    <row r="861" spans="1:9" ht="63">
      <c r="A861" s="372" t="s">
        <v>1488</v>
      </c>
      <c r="B861" s="372" t="s">
        <v>41</v>
      </c>
      <c r="C861" s="372" t="s">
        <v>200</v>
      </c>
      <c r="D861" s="372" t="s">
        <v>6</v>
      </c>
      <c r="E861" s="372" t="s">
        <v>1038</v>
      </c>
      <c r="F861" s="373"/>
      <c r="G861" s="197">
        <v>1750</v>
      </c>
      <c r="H861" s="197">
        <v>1550</v>
      </c>
      <c r="I861" s="197">
        <v>1550</v>
      </c>
    </row>
    <row r="862" spans="1:9" ht="94.5">
      <c r="A862" s="372" t="s">
        <v>1156</v>
      </c>
      <c r="B862" s="372" t="s">
        <v>41</v>
      </c>
      <c r="C862" s="372" t="s">
        <v>200</v>
      </c>
      <c r="D862" s="372" t="s">
        <v>6</v>
      </c>
      <c r="E862" s="372" t="s">
        <v>1040</v>
      </c>
      <c r="F862" s="373"/>
      <c r="G862" s="197">
        <v>1750</v>
      </c>
      <c r="H862" s="197">
        <v>1550</v>
      </c>
      <c r="I862" s="197">
        <v>1550</v>
      </c>
    </row>
    <row r="863" spans="1:9" ht="63">
      <c r="A863" s="372" t="s">
        <v>758</v>
      </c>
      <c r="B863" s="372" t="s">
        <v>41</v>
      </c>
      <c r="C863" s="372" t="s">
        <v>200</v>
      </c>
      <c r="D863" s="372" t="s">
        <v>6</v>
      </c>
      <c r="E863" s="372" t="s">
        <v>1040</v>
      </c>
      <c r="F863" s="372" t="s">
        <v>266</v>
      </c>
      <c r="G863" s="197">
        <v>1750</v>
      </c>
      <c r="H863" s="197">
        <v>1550</v>
      </c>
      <c r="I863" s="197">
        <v>1550</v>
      </c>
    </row>
    <row r="864" spans="1:9" ht="78.75">
      <c r="A864" s="372" t="s">
        <v>538</v>
      </c>
      <c r="B864" s="372" t="s">
        <v>41</v>
      </c>
      <c r="C864" s="372" t="s">
        <v>200</v>
      </c>
      <c r="D864" s="372" t="s">
        <v>6</v>
      </c>
      <c r="E864" s="372" t="s">
        <v>378</v>
      </c>
      <c r="F864" s="373"/>
      <c r="G864" s="197">
        <v>9294.9988300000005</v>
      </c>
      <c r="H864" s="197">
        <v>9425.1820000000007</v>
      </c>
      <c r="I864" s="197">
        <v>9425.1820000000007</v>
      </c>
    </row>
    <row r="865" spans="1:9" ht="78.75">
      <c r="A865" s="372" t="s">
        <v>539</v>
      </c>
      <c r="B865" s="372" t="s">
        <v>41</v>
      </c>
      <c r="C865" s="372" t="s">
        <v>200</v>
      </c>
      <c r="D865" s="372" t="s">
        <v>6</v>
      </c>
      <c r="E865" s="372" t="s">
        <v>379</v>
      </c>
      <c r="F865" s="373"/>
      <c r="G865" s="197">
        <v>5279.0050000000001</v>
      </c>
      <c r="H865" s="197">
        <v>5279.0050000000001</v>
      </c>
      <c r="I865" s="197">
        <v>5279.0050000000001</v>
      </c>
    </row>
    <row r="866" spans="1:9" ht="94.5">
      <c r="A866" s="372" t="s">
        <v>827</v>
      </c>
      <c r="B866" s="372" t="s">
        <v>41</v>
      </c>
      <c r="C866" s="372" t="s">
        <v>200</v>
      </c>
      <c r="D866" s="372" t="s">
        <v>6</v>
      </c>
      <c r="E866" s="372" t="s">
        <v>380</v>
      </c>
      <c r="F866" s="373"/>
      <c r="G866" s="197">
        <v>5279.0050000000001</v>
      </c>
      <c r="H866" s="197">
        <v>5279.0050000000001</v>
      </c>
      <c r="I866" s="197">
        <v>5279.0050000000001</v>
      </c>
    </row>
    <row r="867" spans="1:9" ht="63">
      <c r="A867" s="372" t="s">
        <v>1114</v>
      </c>
      <c r="B867" s="372" t="s">
        <v>41</v>
      </c>
      <c r="C867" s="372" t="s">
        <v>200</v>
      </c>
      <c r="D867" s="372" t="s">
        <v>6</v>
      </c>
      <c r="E867" s="372" t="s">
        <v>1041</v>
      </c>
      <c r="F867" s="373"/>
      <c r="G867" s="197">
        <v>5241.0150000000003</v>
      </c>
      <c r="H867" s="197">
        <v>5227.4049999999997</v>
      </c>
      <c r="I867" s="197">
        <v>5227.4049999999997</v>
      </c>
    </row>
    <row r="868" spans="1:9" ht="141.75">
      <c r="A868" s="372" t="s">
        <v>771</v>
      </c>
      <c r="B868" s="372" t="s">
        <v>41</v>
      </c>
      <c r="C868" s="372" t="s">
        <v>200</v>
      </c>
      <c r="D868" s="372" t="s">
        <v>6</v>
      </c>
      <c r="E868" s="372" t="s">
        <v>1041</v>
      </c>
      <c r="F868" s="372" t="s">
        <v>265</v>
      </c>
      <c r="G868" s="197">
        <v>4800.1270000000004</v>
      </c>
      <c r="H868" s="197">
        <v>4800.1270000000004</v>
      </c>
      <c r="I868" s="197">
        <v>4800.1270000000004</v>
      </c>
    </row>
    <row r="869" spans="1:9" ht="63">
      <c r="A869" s="372" t="s">
        <v>758</v>
      </c>
      <c r="B869" s="372" t="s">
        <v>41</v>
      </c>
      <c r="C869" s="372" t="s">
        <v>200</v>
      </c>
      <c r="D869" s="372" t="s">
        <v>6</v>
      </c>
      <c r="E869" s="372" t="s">
        <v>1041</v>
      </c>
      <c r="F869" s="372" t="s">
        <v>266</v>
      </c>
      <c r="G869" s="197">
        <v>435.88799999999998</v>
      </c>
      <c r="H869" s="197">
        <v>422.27800000000002</v>
      </c>
      <c r="I869" s="197">
        <v>422.27800000000002</v>
      </c>
    </row>
    <row r="870" spans="1:9" ht="31.5">
      <c r="A870" s="372" t="s">
        <v>772</v>
      </c>
      <c r="B870" s="372" t="s">
        <v>41</v>
      </c>
      <c r="C870" s="372" t="s">
        <v>200</v>
      </c>
      <c r="D870" s="372" t="s">
        <v>6</v>
      </c>
      <c r="E870" s="372" t="s">
        <v>1041</v>
      </c>
      <c r="F870" s="372" t="s">
        <v>267</v>
      </c>
      <c r="G870" s="197">
        <v>5</v>
      </c>
      <c r="H870" s="197">
        <v>5</v>
      </c>
      <c r="I870" s="197">
        <v>5</v>
      </c>
    </row>
    <row r="871" spans="1:9" ht="110.25">
      <c r="A871" s="372" t="s">
        <v>1115</v>
      </c>
      <c r="B871" s="372" t="s">
        <v>41</v>
      </c>
      <c r="C871" s="372" t="s">
        <v>200</v>
      </c>
      <c r="D871" s="372" t="s">
        <v>6</v>
      </c>
      <c r="E871" s="372" t="s">
        <v>1042</v>
      </c>
      <c r="F871" s="373"/>
      <c r="G871" s="197">
        <v>37.99</v>
      </c>
      <c r="H871" s="197">
        <v>51.6</v>
      </c>
      <c r="I871" s="197">
        <v>51.6</v>
      </c>
    </row>
    <row r="872" spans="1:9" ht="63">
      <c r="A872" s="372" t="s">
        <v>758</v>
      </c>
      <c r="B872" s="372" t="s">
        <v>41</v>
      </c>
      <c r="C872" s="372" t="s">
        <v>200</v>
      </c>
      <c r="D872" s="372" t="s">
        <v>6</v>
      </c>
      <c r="E872" s="372" t="s">
        <v>1042</v>
      </c>
      <c r="F872" s="372" t="s">
        <v>266</v>
      </c>
      <c r="G872" s="197">
        <v>37.99</v>
      </c>
      <c r="H872" s="197">
        <v>51.6</v>
      </c>
      <c r="I872" s="197">
        <v>51.6</v>
      </c>
    </row>
    <row r="873" spans="1:9" ht="47.25">
      <c r="A873" s="372" t="s">
        <v>540</v>
      </c>
      <c r="B873" s="372" t="s">
        <v>41</v>
      </c>
      <c r="C873" s="372" t="s">
        <v>200</v>
      </c>
      <c r="D873" s="372" t="s">
        <v>6</v>
      </c>
      <c r="E873" s="372" t="s">
        <v>381</v>
      </c>
      <c r="F873" s="373"/>
      <c r="G873" s="197">
        <v>4015.9938299999999</v>
      </c>
      <c r="H873" s="197">
        <v>4146.1769999999997</v>
      </c>
      <c r="I873" s="197">
        <v>4146.1769999999997</v>
      </c>
    </row>
    <row r="874" spans="1:9" ht="63">
      <c r="A874" s="372" t="s">
        <v>1488</v>
      </c>
      <c r="B874" s="372" t="s">
        <v>41</v>
      </c>
      <c r="C874" s="372" t="s">
        <v>200</v>
      </c>
      <c r="D874" s="372" t="s">
        <v>6</v>
      </c>
      <c r="E874" s="372" t="s">
        <v>382</v>
      </c>
      <c r="F874" s="373"/>
      <c r="G874" s="197">
        <v>4015.9938299999999</v>
      </c>
      <c r="H874" s="197">
        <v>4146.1769999999997</v>
      </c>
      <c r="I874" s="197">
        <v>4146.1769999999997</v>
      </c>
    </row>
    <row r="875" spans="1:9" ht="63">
      <c r="A875" s="372" t="s">
        <v>828</v>
      </c>
      <c r="B875" s="372" t="s">
        <v>41</v>
      </c>
      <c r="C875" s="372" t="s">
        <v>200</v>
      </c>
      <c r="D875" s="372" t="s">
        <v>6</v>
      </c>
      <c r="E875" s="372" t="s">
        <v>383</v>
      </c>
      <c r="F875" s="373"/>
      <c r="G875" s="197">
        <v>371.96</v>
      </c>
      <c r="H875" s="197">
        <v>262.95999999999998</v>
      </c>
      <c r="I875" s="197">
        <v>262.95999999999998</v>
      </c>
    </row>
    <row r="876" spans="1:9" ht="63">
      <c r="A876" s="372" t="s">
        <v>758</v>
      </c>
      <c r="B876" s="372" t="s">
        <v>41</v>
      </c>
      <c r="C876" s="372" t="s">
        <v>200</v>
      </c>
      <c r="D876" s="372" t="s">
        <v>6</v>
      </c>
      <c r="E876" s="372" t="s">
        <v>383</v>
      </c>
      <c r="F876" s="372" t="s">
        <v>266</v>
      </c>
      <c r="G876" s="197">
        <v>371.96</v>
      </c>
      <c r="H876" s="197">
        <v>262.95999999999998</v>
      </c>
      <c r="I876" s="197">
        <v>262.95999999999998</v>
      </c>
    </row>
    <row r="877" spans="1:9" ht="47.25">
      <c r="A877" s="372" t="s">
        <v>829</v>
      </c>
      <c r="B877" s="372" t="s">
        <v>41</v>
      </c>
      <c r="C877" s="372" t="s">
        <v>200</v>
      </c>
      <c r="D877" s="372" t="s">
        <v>6</v>
      </c>
      <c r="E877" s="372" t="s">
        <v>384</v>
      </c>
      <c r="F877" s="373"/>
      <c r="G877" s="197">
        <v>3469.8168300000002</v>
      </c>
      <c r="H877" s="197">
        <v>3645</v>
      </c>
      <c r="I877" s="197">
        <v>3645</v>
      </c>
    </row>
    <row r="878" spans="1:9" ht="63">
      <c r="A878" s="372" t="s">
        <v>758</v>
      </c>
      <c r="B878" s="372" t="s">
        <v>41</v>
      </c>
      <c r="C878" s="372" t="s">
        <v>200</v>
      </c>
      <c r="D878" s="372" t="s">
        <v>6</v>
      </c>
      <c r="E878" s="372" t="s">
        <v>384</v>
      </c>
      <c r="F878" s="372" t="s">
        <v>266</v>
      </c>
      <c r="G878" s="197">
        <v>3469.8168300000002</v>
      </c>
      <c r="H878" s="197">
        <v>3645</v>
      </c>
      <c r="I878" s="197">
        <v>3645</v>
      </c>
    </row>
    <row r="879" spans="1:9" ht="63">
      <c r="A879" s="372" t="s">
        <v>929</v>
      </c>
      <c r="B879" s="372" t="s">
        <v>41</v>
      </c>
      <c r="C879" s="372" t="s">
        <v>200</v>
      </c>
      <c r="D879" s="372" t="s">
        <v>6</v>
      </c>
      <c r="E879" s="372" t="s">
        <v>385</v>
      </c>
      <c r="F879" s="373"/>
      <c r="G879" s="197">
        <v>174.21700000000001</v>
      </c>
      <c r="H879" s="197">
        <v>238.21700000000001</v>
      </c>
      <c r="I879" s="197">
        <v>238.21700000000001</v>
      </c>
    </row>
    <row r="880" spans="1:9" ht="63">
      <c r="A880" s="372" t="s">
        <v>758</v>
      </c>
      <c r="B880" s="372" t="s">
        <v>41</v>
      </c>
      <c r="C880" s="372" t="s">
        <v>200</v>
      </c>
      <c r="D880" s="372" t="s">
        <v>6</v>
      </c>
      <c r="E880" s="372" t="s">
        <v>385</v>
      </c>
      <c r="F880" s="372" t="s">
        <v>266</v>
      </c>
      <c r="G880" s="197">
        <v>174.21700000000001</v>
      </c>
      <c r="H880" s="197">
        <v>238.21700000000001</v>
      </c>
      <c r="I880" s="197">
        <v>238.21700000000001</v>
      </c>
    </row>
    <row r="881" spans="1:9" ht="63">
      <c r="A881" s="372" t="s">
        <v>523</v>
      </c>
      <c r="B881" s="372" t="s">
        <v>41</v>
      </c>
      <c r="C881" s="372" t="s">
        <v>200</v>
      </c>
      <c r="D881" s="372" t="s">
        <v>6</v>
      </c>
      <c r="E881" s="372" t="s">
        <v>420</v>
      </c>
      <c r="F881" s="373"/>
      <c r="G881" s="197">
        <v>412.85788000000002</v>
      </c>
      <c r="H881" s="197">
        <v>0</v>
      </c>
      <c r="I881" s="197">
        <v>0</v>
      </c>
    </row>
    <row r="882" spans="1:9" ht="31.5">
      <c r="A882" s="372" t="s">
        <v>509</v>
      </c>
      <c r="B882" s="372" t="s">
        <v>41</v>
      </c>
      <c r="C882" s="372" t="s">
        <v>200</v>
      </c>
      <c r="D882" s="372" t="s">
        <v>6</v>
      </c>
      <c r="E882" s="372" t="s">
        <v>421</v>
      </c>
      <c r="F882" s="373"/>
      <c r="G882" s="197">
        <v>412.85788000000002</v>
      </c>
      <c r="H882" s="197">
        <v>0</v>
      </c>
      <c r="I882" s="197">
        <v>0</v>
      </c>
    </row>
    <row r="883" spans="1:9" ht="31.5">
      <c r="A883" s="372" t="s">
        <v>1441</v>
      </c>
      <c r="B883" s="372" t="s">
        <v>41</v>
      </c>
      <c r="C883" s="372" t="s">
        <v>200</v>
      </c>
      <c r="D883" s="372" t="s">
        <v>6</v>
      </c>
      <c r="E883" s="372" t="s">
        <v>421</v>
      </c>
      <c r="F883" s="373"/>
      <c r="G883" s="197">
        <v>412.85788000000002</v>
      </c>
      <c r="H883" s="197">
        <v>0</v>
      </c>
      <c r="I883" s="197">
        <v>0</v>
      </c>
    </row>
    <row r="884" spans="1:9" ht="204.75">
      <c r="A884" s="372" t="s">
        <v>1184</v>
      </c>
      <c r="B884" s="372" t="s">
        <v>41</v>
      </c>
      <c r="C884" s="372" t="s">
        <v>200</v>
      </c>
      <c r="D884" s="372" t="s">
        <v>6</v>
      </c>
      <c r="E884" s="372" t="s">
        <v>1178</v>
      </c>
      <c r="F884" s="373"/>
      <c r="G884" s="197">
        <v>412.85788000000002</v>
      </c>
      <c r="H884" s="197">
        <v>0</v>
      </c>
      <c r="I884" s="197">
        <v>0</v>
      </c>
    </row>
    <row r="885" spans="1:9" ht="63">
      <c r="A885" s="372" t="s">
        <v>758</v>
      </c>
      <c r="B885" s="372" t="s">
        <v>41</v>
      </c>
      <c r="C885" s="372" t="s">
        <v>200</v>
      </c>
      <c r="D885" s="372" t="s">
        <v>6</v>
      </c>
      <c r="E885" s="372" t="s">
        <v>1178</v>
      </c>
      <c r="F885" s="372" t="s">
        <v>266</v>
      </c>
      <c r="G885" s="197">
        <v>384.58915999999999</v>
      </c>
      <c r="H885" s="197">
        <v>0</v>
      </c>
      <c r="I885" s="197">
        <v>0</v>
      </c>
    </row>
    <row r="886" spans="1:9" ht="31.5">
      <c r="A886" s="372" t="s">
        <v>772</v>
      </c>
      <c r="B886" s="372" t="s">
        <v>41</v>
      </c>
      <c r="C886" s="372" t="s">
        <v>200</v>
      </c>
      <c r="D886" s="372" t="s">
        <v>6</v>
      </c>
      <c r="E886" s="372" t="s">
        <v>1178</v>
      </c>
      <c r="F886" s="372" t="s">
        <v>267</v>
      </c>
      <c r="G886" s="197">
        <v>28.268719999999998</v>
      </c>
      <c r="H886" s="197">
        <v>0</v>
      </c>
      <c r="I886" s="197">
        <v>0</v>
      </c>
    </row>
    <row r="887" spans="1:9" ht="63">
      <c r="A887" s="372" t="s">
        <v>524</v>
      </c>
      <c r="B887" s="372" t="s">
        <v>41</v>
      </c>
      <c r="C887" s="372" t="s">
        <v>200</v>
      </c>
      <c r="D887" s="372" t="s">
        <v>6</v>
      </c>
      <c r="E887" s="372" t="s">
        <v>444</v>
      </c>
      <c r="F887" s="373"/>
      <c r="G887" s="197">
        <v>942.25995</v>
      </c>
      <c r="H887" s="197">
        <v>0</v>
      </c>
      <c r="I887" s="197">
        <v>0</v>
      </c>
    </row>
    <row r="888" spans="1:9" ht="31.5">
      <c r="A888" s="372" t="s">
        <v>509</v>
      </c>
      <c r="B888" s="372" t="s">
        <v>41</v>
      </c>
      <c r="C888" s="372" t="s">
        <v>200</v>
      </c>
      <c r="D888" s="372" t="s">
        <v>6</v>
      </c>
      <c r="E888" s="372" t="s">
        <v>445</v>
      </c>
      <c r="F888" s="373"/>
      <c r="G888" s="197">
        <v>942.25995</v>
      </c>
      <c r="H888" s="197">
        <v>0</v>
      </c>
      <c r="I888" s="197">
        <v>0</v>
      </c>
    </row>
    <row r="889" spans="1:9" ht="31.5">
      <c r="A889" s="372" t="s">
        <v>1441</v>
      </c>
      <c r="B889" s="372" t="s">
        <v>41</v>
      </c>
      <c r="C889" s="372" t="s">
        <v>200</v>
      </c>
      <c r="D889" s="372" t="s">
        <v>6</v>
      </c>
      <c r="E889" s="372" t="s">
        <v>445</v>
      </c>
      <c r="F889" s="373"/>
      <c r="G889" s="197">
        <v>942.25995</v>
      </c>
      <c r="H889" s="197">
        <v>0</v>
      </c>
      <c r="I889" s="197">
        <v>0</v>
      </c>
    </row>
    <row r="890" spans="1:9" ht="31.5">
      <c r="A890" s="372" t="s">
        <v>1186</v>
      </c>
      <c r="B890" s="372" t="s">
        <v>41</v>
      </c>
      <c r="C890" s="372" t="s">
        <v>200</v>
      </c>
      <c r="D890" s="372" t="s">
        <v>6</v>
      </c>
      <c r="E890" s="372" t="s">
        <v>1181</v>
      </c>
      <c r="F890" s="373"/>
      <c r="G890" s="197">
        <v>942.25995</v>
      </c>
      <c r="H890" s="197">
        <v>0</v>
      </c>
      <c r="I890" s="197">
        <v>0</v>
      </c>
    </row>
    <row r="891" spans="1:9" ht="63">
      <c r="A891" s="372" t="s">
        <v>758</v>
      </c>
      <c r="B891" s="372" t="s">
        <v>41</v>
      </c>
      <c r="C891" s="372" t="s">
        <v>200</v>
      </c>
      <c r="D891" s="372" t="s">
        <v>6</v>
      </c>
      <c r="E891" s="372" t="s">
        <v>1181</v>
      </c>
      <c r="F891" s="372" t="s">
        <v>266</v>
      </c>
      <c r="G891" s="197">
        <v>942.25995</v>
      </c>
      <c r="H891" s="197">
        <v>0</v>
      </c>
      <c r="I891" s="197">
        <v>0</v>
      </c>
    </row>
    <row r="892" spans="1:9" ht="15.75">
      <c r="A892" s="374" t="s">
        <v>542</v>
      </c>
      <c r="B892" s="374"/>
      <c r="C892" s="374"/>
      <c r="D892" s="374"/>
      <c r="E892" s="374"/>
      <c r="F892" s="374"/>
      <c r="G892" s="375">
        <v>1453948.64485</v>
      </c>
      <c r="H892" s="375">
        <v>1104296.84353</v>
      </c>
      <c r="I892" s="375">
        <v>1100267.9025300001</v>
      </c>
    </row>
    <row r="893" spans="1:9" ht="15.75">
      <c r="A893" s="372"/>
      <c r="B893" s="372"/>
      <c r="C893" s="372"/>
      <c r="D893" s="372"/>
      <c r="E893" s="372"/>
      <c r="F893" s="372"/>
      <c r="G893" s="197"/>
      <c r="H893" s="197"/>
      <c r="I893" s="197"/>
    </row>
    <row r="894" spans="1:9" ht="15.75">
      <c r="A894" s="372"/>
      <c r="B894" s="372"/>
      <c r="C894" s="372"/>
      <c r="D894" s="372"/>
      <c r="E894" s="372"/>
      <c r="F894" s="372"/>
      <c r="G894" s="197"/>
      <c r="H894" s="197"/>
      <c r="I894" s="197"/>
    </row>
    <row r="895" spans="1:9" ht="15.75">
      <c r="A895" s="372"/>
      <c r="B895" s="372"/>
      <c r="C895" s="372"/>
      <c r="D895" s="372"/>
      <c r="E895" s="372"/>
      <c r="F895" s="372"/>
      <c r="G895" s="197"/>
      <c r="H895" s="197"/>
      <c r="I895" s="197"/>
    </row>
    <row r="896" spans="1:9" ht="15.75">
      <c r="A896" s="372"/>
      <c r="B896" s="372"/>
      <c r="C896" s="372"/>
      <c r="D896" s="372"/>
      <c r="E896" s="372"/>
      <c r="F896" s="372"/>
      <c r="G896" s="197"/>
      <c r="H896" s="197"/>
      <c r="I896" s="197"/>
    </row>
    <row r="897" spans="1:9" ht="15.75">
      <c r="A897" s="372"/>
      <c r="B897" s="372"/>
      <c r="C897" s="372"/>
      <c r="D897" s="372"/>
      <c r="E897" s="372"/>
      <c r="F897" s="372"/>
      <c r="G897" s="197"/>
      <c r="H897" s="197"/>
      <c r="I897" s="197"/>
    </row>
    <row r="898" spans="1:9" ht="15.75">
      <c r="A898" s="372"/>
      <c r="B898" s="372"/>
      <c r="C898" s="372"/>
      <c r="D898" s="372"/>
      <c r="E898" s="372"/>
      <c r="F898" s="372"/>
      <c r="G898" s="197"/>
      <c r="H898" s="197"/>
      <c r="I898" s="197"/>
    </row>
    <row r="899" spans="1:9" ht="15.75">
      <c r="A899" s="372"/>
      <c r="B899" s="372"/>
      <c r="C899" s="372"/>
      <c r="D899" s="372"/>
      <c r="E899" s="372"/>
      <c r="F899" s="372"/>
      <c r="G899" s="197"/>
      <c r="H899" s="197"/>
      <c r="I899" s="197"/>
    </row>
    <row r="900" spans="1:9" ht="15.75">
      <c r="A900" s="372"/>
      <c r="B900" s="372"/>
      <c r="C900" s="372"/>
      <c r="D900" s="372"/>
      <c r="E900" s="372"/>
      <c r="F900" s="372"/>
      <c r="G900" s="197"/>
      <c r="H900" s="197"/>
      <c r="I900" s="197"/>
    </row>
    <row r="901" spans="1:9" ht="15.75">
      <c r="A901" s="372"/>
      <c r="B901" s="372"/>
      <c r="C901" s="372"/>
      <c r="D901" s="372"/>
      <c r="E901" s="372"/>
      <c r="F901" s="372"/>
      <c r="G901" s="197"/>
      <c r="H901" s="197"/>
      <c r="I901" s="197"/>
    </row>
    <row r="902" spans="1:9" ht="15.75">
      <c r="A902" s="372"/>
      <c r="B902" s="372"/>
      <c r="C902" s="372"/>
      <c r="D902" s="372"/>
      <c r="E902" s="372"/>
      <c r="F902" s="372"/>
      <c r="G902" s="197"/>
      <c r="H902" s="197"/>
      <c r="I902" s="197"/>
    </row>
    <row r="903" spans="1:9" ht="15.75">
      <c r="A903" s="372"/>
      <c r="B903" s="372"/>
      <c r="C903" s="372"/>
      <c r="D903" s="372"/>
      <c r="E903" s="372"/>
      <c r="F903" s="372"/>
      <c r="G903" s="197"/>
      <c r="H903" s="197"/>
      <c r="I903" s="197"/>
    </row>
    <row r="904" spans="1:9" ht="15.75">
      <c r="A904" s="372"/>
      <c r="B904" s="372"/>
      <c r="C904" s="372"/>
      <c r="D904" s="372"/>
      <c r="E904" s="372"/>
      <c r="F904" s="372"/>
      <c r="G904" s="197"/>
      <c r="H904" s="197"/>
      <c r="I904" s="197"/>
    </row>
    <row r="905" spans="1:9" ht="15.75">
      <c r="A905" s="372"/>
      <c r="B905" s="372"/>
      <c r="C905" s="372"/>
      <c r="D905" s="372"/>
      <c r="E905" s="372"/>
      <c r="F905" s="372"/>
      <c r="G905" s="197"/>
      <c r="H905" s="197"/>
      <c r="I905" s="197"/>
    </row>
    <row r="906" spans="1:9" ht="15.75">
      <c r="A906" s="372"/>
      <c r="B906" s="372"/>
      <c r="C906" s="372"/>
      <c r="D906" s="372"/>
      <c r="E906" s="372"/>
      <c r="F906" s="372"/>
      <c r="G906" s="197"/>
      <c r="H906" s="197"/>
      <c r="I906" s="197"/>
    </row>
    <row r="907" spans="1:9" ht="15.75">
      <c r="A907" s="372"/>
      <c r="B907" s="372"/>
      <c r="C907" s="372"/>
      <c r="D907" s="372"/>
      <c r="E907" s="372"/>
      <c r="F907" s="372"/>
      <c r="G907" s="197"/>
      <c r="H907" s="197"/>
      <c r="I907" s="197"/>
    </row>
    <row r="908" spans="1:9" ht="15.75">
      <c r="A908" s="372"/>
      <c r="B908" s="372"/>
      <c r="C908" s="372"/>
      <c r="D908" s="372"/>
      <c r="E908" s="372"/>
      <c r="F908" s="372"/>
      <c r="G908" s="197"/>
      <c r="H908" s="197"/>
      <c r="I908" s="197"/>
    </row>
    <row r="909" spans="1:9" ht="15.75">
      <c r="A909" s="372"/>
      <c r="B909" s="372"/>
      <c r="C909" s="372"/>
      <c r="D909" s="372"/>
      <c r="E909" s="372"/>
      <c r="F909" s="372"/>
      <c r="G909" s="197"/>
      <c r="H909" s="197"/>
      <c r="I909" s="197"/>
    </row>
    <row r="910" spans="1:9" ht="15.75">
      <c r="A910" s="372"/>
      <c r="B910" s="372"/>
      <c r="C910" s="372"/>
      <c r="D910" s="372"/>
      <c r="E910" s="372"/>
      <c r="F910" s="372"/>
      <c r="G910" s="197"/>
      <c r="H910" s="197"/>
      <c r="I910" s="197"/>
    </row>
    <row r="911" spans="1:9" ht="15.75">
      <c r="A911" s="372"/>
      <c r="B911" s="372"/>
      <c r="C911" s="372"/>
      <c r="D911" s="372"/>
      <c r="E911" s="372"/>
      <c r="F911" s="372"/>
      <c r="G911" s="197"/>
      <c r="H911" s="197"/>
      <c r="I911" s="197"/>
    </row>
    <row r="912" spans="1:9" ht="15.75">
      <c r="A912" s="372"/>
      <c r="B912" s="372"/>
      <c r="C912" s="372"/>
      <c r="D912" s="372"/>
      <c r="E912" s="372"/>
      <c r="F912" s="372"/>
      <c r="G912" s="197"/>
      <c r="H912" s="197"/>
      <c r="I912" s="197"/>
    </row>
    <row r="913" spans="1:9" ht="15.75">
      <c r="A913" s="372"/>
      <c r="B913" s="372"/>
      <c r="C913" s="372"/>
      <c r="D913" s="372"/>
      <c r="E913" s="372"/>
      <c r="F913" s="372"/>
      <c r="G913" s="197"/>
      <c r="H913" s="197"/>
      <c r="I913" s="197"/>
    </row>
    <row r="914" spans="1:9" ht="15.75">
      <c r="A914" s="372"/>
      <c r="B914" s="372"/>
      <c r="C914" s="372"/>
      <c r="D914" s="372"/>
      <c r="E914" s="372"/>
      <c r="F914" s="372"/>
      <c r="G914" s="197"/>
      <c r="H914" s="197"/>
      <c r="I914" s="197"/>
    </row>
    <row r="915" spans="1:9" ht="15.75">
      <c r="A915" s="372"/>
      <c r="B915" s="372"/>
      <c r="C915" s="372"/>
      <c r="D915" s="372"/>
      <c r="E915" s="372"/>
      <c r="F915" s="372"/>
      <c r="G915" s="197"/>
      <c r="H915" s="197"/>
      <c r="I915" s="197"/>
    </row>
    <row r="916" spans="1:9" ht="15.75">
      <c r="A916" s="372"/>
      <c r="B916" s="372"/>
      <c r="C916" s="372"/>
      <c r="D916" s="372"/>
      <c r="E916" s="372"/>
      <c r="F916" s="372"/>
      <c r="G916" s="197"/>
      <c r="H916" s="197"/>
      <c r="I916" s="197"/>
    </row>
    <row r="917" spans="1:9" ht="15.75">
      <c r="A917" s="372"/>
      <c r="B917" s="372"/>
      <c r="C917" s="372"/>
      <c r="D917" s="372"/>
      <c r="E917" s="372"/>
      <c r="F917" s="372"/>
      <c r="G917" s="197"/>
      <c r="H917" s="197"/>
      <c r="I917" s="197"/>
    </row>
    <row r="918" spans="1:9" ht="15.75">
      <c r="A918" s="372"/>
      <c r="B918" s="372"/>
      <c r="C918" s="372"/>
      <c r="D918" s="372"/>
      <c r="E918" s="372"/>
      <c r="F918" s="372"/>
      <c r="G918" s="197"/>
      <c r="H918" s="197"/>
      <c r="I918" s="197"/>
    </row>
    <row r="919" spans="1:9" ht="15.75">
      <c r="A919" s="372"/>
      <c r="B919" s="372"/>
      <c r="C919" s="372"/>
      <c r="D919" s="372"/>
      <c r="E919" s="372"/>
      <c r="F919" s="372"/>
      <c r="G919" s="197"/>
      <c r="H919" s="197"/>
      <c r="I919" s="197"/>
    </row>
    <row r="920" spans="1:9" ht="15.75">
      <c r="A920" s="372"/>
      <c r="B920" s="372"/>
      <c r="C920" s="372"/>
      <c r="D920" s="372"/>
      <c r="E920" s="372"/>
      <c r="F920" s="372"/>
      <c r="G920" s="197"/>
      <c r="H920" s="197"/>
      <c r="I920" s="197"/>
    </row>
    <row r="921" spans="1:9" ht="15.75">
      <c r="A921" s="372"/>
      <c r="B921" s="372"/>
      <c r="C921" s="372"/>
      <c r="D921" s="372"/>
      <c r="E921" s="372"/>
      <c r="F921" s="372"/>
      <c r="G921" s="197"/>
      <c r="H921" s="197"/>
      <c r="I921" s="197"/>
    </row>
    <row r="922" spans="1:9" ht="15.75">
      <c r="A922" s="372"/>
      <c r="B922" s="372"/>
      <c r="C922" s="372"/>
      <c r="D922" s="372"/>
      <c r="E922" s="372"/>
      <c r="F922" s="372"/>
      <c r="G922" s="197"/>
      <c r="H922" s="197"/>
      <c r="I922" s="197"/>
    </row>
    <row r="923" spans="1:9" ht="15.75">
      <c r="A923" s="372"/>
      <c r="B923" s="372"/>
      <c r="C923" s="372"/>
      <c r="D923" s="372"/>
      <c r="E923" s="372"/>
      <c r="F923" s="372"/>
      <c r="G923" s="197"/>
      <c r="H923" s="197"/>
      <c r="I923" s="197"/>
    </row>
    <row r="924" spans="1:9" ht="15.75">
      <c r="A924" s="372"/>
      <c r="B924" s="372"/>
      <c r="C924" s="372"/>
      <c r="D924" s="372"/>
      <c r="E924" s="372"/>
      <c r="F924" s="372"/>
      <c r="G924" s="197"/>
      <c r="H924" s="197"/>
      <c r="I924" s="197"/>
    </row>
    <row r="925" spans="1:9" ht="15.75">
      <c r="A925" s="372"/>
      <c r="B925" s="372"/>
      <c r="C925" s="372"/>
      <c r="D925" s="372"/>
      <c r="E925" s="372"/>
      <c r="F925" s="372"/>
      <c r="G925" s="197"/>
      <c r="H925" s="197"/>
      <c r="I925" s="197"/>
    </row>
    <row r="926" spans="1:9" ht="15.75">
      <c r="A926" s="372"/>
      <c r="B926" s="372"/>
      <c r="C926" s="372"/>
      <c r="D926" s="372"/>
      <c r="E926" s="372"/>
      <c r="F926" s="372"/>
      <c r="G926" s="197"/>
      <c r="H926" s="197"/>
      <c r="I926" s="197"/>
    </row>
    <row r="927" spans="1:9" ht="15.75">
      <c r="A927" s="372"/>
      <c r="B927" s="372"/>
      <c r="C927" s="372"/>
      <c r="D927" s="372"/>
      <c r="E927" s="372"/>
      <c r="F927" s="372"/>
      <c r="G927" s="197"/>
      <c r="H927" s="197"/>
      <c r="I927" s="197"/>
    </row>
    <row r="928" spans="1:9" ht="15.75">
      <c r="A928" s="372"/>
      <c r="B928" s="372"/>
      <c r="C928" s="372"/>
      <c r="D928" s="372"/>
      <c r="E928" s="372"/>
      <c r="F928" s="372"/>
      <c r="G928" s="197"/>
      <c r="H928" s="197"/>
      <c r="I928" s="197"/>
    </row>
    <row r="929" spans="1:9" ht="15.75">
      <c r="A929" s="372"/>
      <c r="B929" s="372"/>
      <c r="C929" s="372"/>
      <c r="D929" s="372"/>
      <c r="E929" s="372"/>
      <c r="F929" s="372"/>
      <c r="G929" s="197"/>
      <c r="H929" s="197"/>
      <c r="I929" s="197"/>
    </row>
    <row r="930" spans="1:9" ht="15.75">
      <c r="A930" s="372"/>
      <c r="B930" s="372"/>
      <c r="C930" s="372"/>
      <c r="D930" s="372"/>
      <c r="E930" s="372"/>
      <c r="F930" s="372"/>
      <c r="G930" s="197"/>
      <c r="H930" s="197"/>
      <c r="I930" s="197"/>
    </row>
    <row r="931" spans="1:9" ht="15.75">
      <c r="A931" s="372"/>
      <c r="B931" s="372"/>
      <c r="C931" s="372"/>
      <c r="D931" s="372"/>
      <c r="E931" s="372"/>
      <c r="F931" s="372"/>
      <c r="G931" s="197"/>
      <c r="H931" s="197"/>
      <c r="I931" s="197"/>
    </row>
    <row r="932" spans="1:9" ht="15.75">
      <c r="A932" s="372"/>
      <c r="B932" s="372"/>
      <c r="C932" s="372"/>
      <c r="D932" s="372"/>
      <c r="E932" s="372"/>
      <c r="F932" s="372"/>
      <c r="G932" s="197"/>
      <c r="H932" s="197"/>
      <c r="I932" s="197"/>
    </row>
    <row r="933" spans="1:9" ht="15.75">
      <c r="A933" s="372"/>
      <c r="B933" s="372"/>
      <c r="C933" s="372"/>
      <c r="D933" s="372"/>
      <c r="E933" s="372"/>
      <c r="F933" s="372"/>
      <c r="G933" s="197"/>
      <c r="H933" s="197"/>
      <c r="I933" s="197"/>
    </row>
    <row r="934" spans="1:9" ht="15.75">
      <c r="A934" s="372"/>
      <c r="B934" s="372"/>
      <c r="C934" s="372"/>
      <c r="D934" s="372"/>
      <c r="E934" s="372"/>
      <c r="F934" s="372"/>
      <c r="G934" s="197"/>
      <c r="H934" s="197"/>
      <c r="I934" s="197"/>
    </row>
    <row r="935" spans="1:9" ht="15.75">
      <c r="A935" s="372"/>
      <c r="B935" s="372"/>
      <c r="C935" s="372"/>
      <c r="D935" s="372"/>
      <c r="E935" s="372"/>
      <c r="F935" s="372"/>
      <c r="G935" s="197"/>
      <c r="H935" s="197"/>
      <c r="I935" s="197"/>
    </row>
    <row r="936" spans="1:9" ht="15.75">
      <c r="A936" s="372"/>
      <c r="B936" s="372"/>
      <c r="C936" s="372"/>
      <c r="D936" s="372"/>
      <c r="E936" s="372"/>
      <c r="F936" s="372"/>
      <c r="G936" s="197"/>
      <c r="H936" s="197"/>
      <c r="I936" s="197"/>
    </row>
    <row r="937" spans="1:9" ht="15.75">
      <c r="A937" s="372"/>
      <c r="B937" s="372"/>
      <c r="C937" s="372"/>
      <c r="D937" s="372"/>
      <c r="E937" s="372"/>
      <c r="F937" s="372"/>
      <c r="G937" s="197"/>
      <c r="H937" s="197"/>
      <c r="I937" s="197"/>
    </row>
    <row r="938" spans="1:9" ht="15.75">
      <c r="A938" s="372"/>
      <c r="B938" s="372"/>
      <c r="C938" s="372"/>
      <c r="D938" s="372"/>
      <c r="E938" s="372"/>
      <c r="F938" s="372"/>
      <c r="G938" s="197"/>
      <c r="H938" s="197"/>
      <c r="I938" s="197"/>
    </row>
    <row r="939" spans="1:9" ht="15.75">
      <c r="A939" s="372"/>
      <c r="B939" s="372"/>
      <c r="C939" s="372"/>
      <c r="D939" s="372"/>
      <c r="E939" s="372"/>
      <c r="F939" s="372"/>
      <c r="G939" s="197"/>
      <c r="H939" s="197"/>
      <c r="I939" s="197"/>
    </row>
    <row r="940" spans="1:9" ht="15.75">
      <c r="A940" s="374"/>
      <c r="B940" s="374"/>
      <c r="C940" s="374"/>
      <c r="D940" s="374"/>
      <c r="E940" s="374"/>
      <c r="F940" s="374"/>
      <c r="G940" s="200"/>
      <c r="H940" s="200"/>
      <c r="I940" s="200"/>
    </row>
  </sheetData>
  <mergeCells count="14">
    <mergeCell ref="F6:F7"/>
    <mergeCell ref="G6:G7"/>
    <mergeCell ref="H6:H7"/>
    <mergeCell ref="I6:I7"/>
    <mergeCell ref="A6:A7"/>
    <mergeCell ref="B6:B7"/>
    <mergeCell ref="C6:C7"/>
    <mergeCell ref="D6:D7"/>
    <mergeCell ref="E6:E7"/>
    <mergeCell ref="A1:I1"/>
    <mergeCell ref="A2:I2"/>
    <mergeCell ref="A3:I3"/>
    <mergeCell ref="A4:I4"/>
    <mergeCell ref="A5:I5"/>
  </mergeCells>
  <pageMargins left="0.98425196850393704" right="0.39370078740157483" top="0.78740157480314965" bottom="0.39370078740157483" header="0.31496062992125984" footer="0.31496062992125984"/>
  <pageSetup paperSize="9" scale="81" firstPageNumber="62" orientation="portrait" useFirstPageNumber="1" r:id="rId1"/>
  <headerFooter>
    <oddHeader>&amp;C&amp;P</oddHeader>
  </headerFooter>
  <rowBreaks count="4" manualBreakCount="4">
    <brk id="858" max="8" man="1"/>
    <brk id="867" max="8" man="1"/>
    <brk id="874" max="8" man="1"/>
    <brk id="888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view="pageLayout" topLeftCell="A30" zoomScaleNormal="100" zoomScaleSheetLayoutView="110" workbookViewId="0">
      <selection sqref="A1:J1"/>
    </sheetView>
  </sheetViews>
  <sheetFormatPr defaultRowHeight="15"/>
  <cols>
    <col min="1" max="1" width="22.44140625" style="170" bestFit="1" customWidth="1"/>
    <col min="2" max="6" width="4.44140625" style="171" customWidth="1"/>
    <col min="7" max="7" width="20" style="171" customWidth="1"/>
    <col min="8" max="8" width="17.21875" style="57" customWidth="1"/>
    <col min="9" max="9" width="14.88671875" style="57" customWidth="1"/>
    <col min="10" max="10" width="15.33203125" style="57" customWidth="1"/>
    <col min="11" max="16384" width="8.88671875" style="57"/>
  </cols>
  <sheetData>
    <row r="1" spans="1:10" ht="137.25" customHeight="1">
      <c r="A1" s="209" t="s">
        <v>1388</v>
      </c>
      <c r="B1" s="209"/>
      <c r="C1" s="209"/>
      <c r="D1" s="209"/>
      <c r="E1" s="209"/>
      <c r="F1" s="209"/>
      <c r="G1" s="209"/>
      <c r="H1" s="209"/>
      <c r="I1" s="209"/>
      <c r="J1" s="209"/>
    </row>
    <row r="2" spans="1:10" s="160" customFormat="1" ht="111.75" customHeight="1">
      <c r="A2" s="344" t="s">
        <v>1302</v>
      </c>
      <c r="B2" s="344"/>
      <c r="C2" s="344"/>
      <c r="D2" s="344"/>
      <c r="E2" s="344"/>
      <c r="F2" s="344"/>
      <c r="G2" s="344"/>
      <c r="H2" s="344"/>
      <c r="I2" s="344"/>
      <c r="J2" s="344"/>
    </row>
    <row r="3" spans="1:10" ht="72" customHeight="1">
      <c r="A3" s="345" t="s">
        <v>1303</v>
      </c>
      <c r="B3" s="345"/>
      <c r="C3" s="345"/>
      <c r="D3" s="345"/>
      <c r="E3" s="345"/>
      <c r="F3" s="345"/>
      <c r="G3" s="345"/>
      <c r="H3" s="345"/>
      <c r="I3" s="345"/>
      <c r="J3" s="345"/>
    </row>
    <row r="4" spans="1:10" ht="15.75">
      <c r="A4" s="346" t="s">
        <v>1</v>
      </c>
      <c r="B4" s="346"/>
      <c r="C4" s="346"/>
      <c r="D4" s="346"/>
      <c r="E4" s="346"/>
      <c r="F4" s="346"/>
      <c r="G4" s="346"/>
      <c r="H4" s="346"/>
      <c r="I4" s="346"/>
      <c r="J4" s="346"/>
    </row>
    <row r="5" spans="1:10">
      <c r="A5" s="348" t="s">
        <v>1304</v>
      </c>
      <c r="B5" s="351" t="s">
        <v>38</v>
      </c>
      <c r="C5" s="352"/>
      <c r="D5" s="352"/>
      <c r="E5" s="352"/>
      <c r="F5" s="352"/>
      <c r="G5" s="353"/>
      <c r="H5" s="360" t="s">
        <v>458</v>
      </c>
      <c r="I5" s="360"/>
      <c r="J5" s="360"/>
    </row>
    <row r="6" spans="1:10">
      <c r="A6" s="349"/>
      <c r="B6" s="354"/>
      <c r="C6" s="355"/>
      <c r="D6" s="355"/>
      <c r="E6" s="355"/>
      <c r="F6" s="355"/>
      <c r="G6" s="356"/>
      <c r="H6" s="360"/>
      <c r="I6" s="360"/>
      <c r="J6" s="360"/>
    </row>
    <row r="7" spans="1:10" ht="26.25" customHeight="1">
      <c r="A7" s="350"/>
      <c r="B7" s="357"/>
      <c r="C7" s="358"/>
      <c r="D7" s="358"/>
      <c r="E7" s="358"/>
      <c r="F7" s="358"/>
      <c r="G7" s="359"/>
      <c r="H7" s="161" t="s">
        <v>459</v>
      </c>
      <c r="I7" s="161" t="s">
        <v>847</v>
      </c>
      <c r="J7" s="161" t="s">
        <v>930</v>
      </c>
    </row>
    <row r="8" spans="1:10" ht="15.75" hidden="1">
      <c r="A8" s="154" t="s">
        <v>1305</v>
      </c>
      <c r="B8" s="361" t="s">
        <v>1306</v>
      </c>
      <c r="C8" s="362"/>
      <c r="D8" s="362"/>
      <c r="E8" s="362"/>
      <c r="F8" s="362"/>
      <c r="G8" s="362"/>
      <c r="H8" s="140">
        <f>SUM(H9+H11)</f>
        <v>0</v>
      </c>
      <c r="I8" s="140">
        <f>SUM(I9+I11)</f>
        <v>0</v>
      </c>
      <c r="J8" s="140">
        <f>SUM(J9+J11)</f>
        <v>0</v>
      </c>
    </row>
    <row r="9" spans="1:10" s="162" customFormat="1" ht="15.75" hidden="1">
      <c r="A9" s="154" t="s">
        <v>1307</v>
      </c>
      <c r="B9" s="361" t="s">
        <v>1308</v>
      </c>
      <c r="C9" s="362"/>
      <c r="D9" s="362"/>
      <c r="E9" s="362"/>
      <c r="F9" s="362"/>
      <c r="G9" s="362"/>
      <c r="H9" s="140">
        <f>SUM(H10)</f>
        <v>0</v>
      </c>
      <c r="I9" s="140">
        <f>SUM(I10)</f>
        <v>0</v>
      </c>
      <c r="J9" s="140">
        <f>SUM(J10)</f>
        <v>0</v>
      </c>
    </row>
    <row r="10" spans="1:10" ht="15.75" hidden="1">
      <c r="A10" s="163" t="s">
        <v>1309</v>
      </c>
      <c r="B10" s="347" t="s">
        <v>1310</v>
      </c>
      <c r="C10" s="363"/>
      <c r="D10" s="363"/>
      <c r="E10" s="363"/>
      <c r="F10" s="363"/>
      <c r="G10" s="363"/>
      <c r="H10" s="80">
        <f>150000+16000+12600-178600</f>
        <v>0</v>
      </c>
      <c r="I10" s="80">
        <f>162000+16000+12600-479.5-190120.5</f>
        <v>0</v>
      </c>
      <c r="J10" s="80">
        <f>168000+16000+12600-503.5-196096.5</f>
        <v>0</v>
      </c>
    </row>
    <row r="11" spans="1:10" s="164" customFormat="1" ht="15.75" hidden="1">
      <c r="A11" s="154" t="s">
        <v>1311</v>
      </c>
      <c r="B11" s="361" t="s">
        <v>1312</v>
      </c>
      <c r="C11" s="362"/>
      <c r="D11" s="362"/>
      <c r="E11" s="362"/>
      <c r="F11" s="362"/>
      <c r="G11" s="362"/>
      <c r="H11" s="140">
        <f>H12</f>
        <v>0</v>
      </c>
      <c r="I11" s="140">
        <f>I12</f>
        <v>0</v>
      </c>
      <c r="J11" s="140">
        <f>J12</f>
        <v>0</v>
      </c>
    </row>
    <row r="12" spans="1:10" ht="15.75" hidden="1">
      <c r="A12" s="163" t="s">
        <v>1313</v>
      </c>
      <c r="B12" s="347" t="s">
        <v>1285</v>
      </c>
      <c r="C12" s="363"/>
      <c r="D12" s="363"/>
      <c r="E12" s="363"/>
      <c r="F12" s="363"/>
      <c r="G12" s="363"/>
      <c r="H12" s="80">
        <f>-134000-16000+150000</f>
        <v>0</v>
      </c>
      <c r="I12" s="80">
        <f>-150000-16000-12600+178600</f>
        <v>0</v>
      </c>
      <c r="J12" s="80">
        <f>-162000-16000-12600+190600</f>
        <v>0</v>
      </c>
    </row>
    <row r="13" spans="1:10" ht="42" customHeight="1">
      <c r="A13" s="154" t="s">
        <v>1314</v>
      </c>
      <c r="B13" s="361" t="s">
        <v>1315</v>
      </c>
      <c r="C13" s="362"/>
      <c r="D13" s="362"/>
      <c r="E13" s="362"/>
      <c r="F13" s="362"/>
      <c r="G13" s="362"/>
      <c r="H13" s="140">
        <f>H17+H21</f>
        <v>4010.8999999999069</v>
      </c>
      <c r="I13" s="140">
        <f>I17+I21</f>
        <v>0</v>
      </c>
      <c r="J13" s="140">
        <f>J17+J21</f>
        <v>0</v>
      </c>
    </row>
    <row r="14" spans="1:10" ht="33" customHeight="1">
      <c r="A14" s="154" t="s">
        <v>1316</v>
      </c>
      <c r="B14" s="361" t="s">
        <v>1317</v>
      </c>
      <c r="C14" s="361"/>
      <c r="D14" s="361"/>
      <c r="E14" s="361"/>
      <c r="F14" s="361"/>
      <c r="G14" s="361"/>
      <c r="H14" s="140">
        <f t="shared" ref="H14:J16" si="0">SUM(H15)</f>
        <v>-1774937.7</v>
      </c>
      <c r="I14" s="140">
        <f t="shared" si="0"/>
        <v>-1350296.8</v>
      </c>
      <c r="J14" s="140">
        <f t="shared" si="0"/>
        <v>-1346267.9</v>
      </c>
    </row>
    <row r="15" spans="1:10" ht="49.5" customHeight="1">
      <c r="A15" s="163" t="s">
        <v>1318</v>
      </c>
      <c r="B15" s="347" t="s">
        <v>1319</v>
      </c>
      <c r="C15" s="347"/>
      <c r="D15" s="347"/>
      <c r="E15" s="347"/>
      <c r="F15" s="347"/>
      <c r="G15" s="347"/>
      <c r="H15" s="141">
        <f t="shared" si="0"/>
        <v>-1774937.7</v>
      </c>
      <c r="I15" s="141">
        <f t="shared" si="0"/>
        <v>-1350296.8</v>
      </c>
      <c r="J15" s="141">
        <f t="shared" si="0"/>
        <v>-1346267.9</v>
      </c>
    </row>
    <row r="16" spans="1:10" ht="48.75" customHeight="1">
      <c r="A16" s="163" t="s">
        <v>1320</v>
      </c>
      <c r="B16" s="347" t="s">
        <v>1321</v>
      </c>
      <c r="C16" s="347"/>
      <c r="D16" s="347"/>
      <c r="E16" s="347"/>
      <c r="F16" s="347"/>
      <c r="G16" s="347"/>
      <c r="H16" s="141">
        <f t="shared" si="0"/>
        <v>-1774937.7</v>
      </c>
      <c r="I16" s="141">
        <f t="shared" si="0"/>
        <v>-1350296.8</v>
      </c>
      <c r="J16" s="141">
        <f t="shared" si="0"/>
        <v>-1346267.9</v>
      </c>
    </row>
    <row r="17" spans="1:11" ht="52.5" customHeight="1">
      <c r="A17" s="163" t="s">
        <v>1322</v>
      </c>
      <c r="B17" s="347" t="s">
        <v>1289</v>
      </c>
      <c r="C17" s="363"/>
      <c r="D17" s="363"/>
      <c r="E17" s="363"/>
      <c r="F17" s="363"/>
      <c r="G17" s="363"/>
      <c r="H17" s="141">
        <f>SUM('пр № 3'!H15)</f>
        <v>-1774937.7</v>
      </c>
      <c r="I17" s="141">
        <f>SUM('пр № 3'!I15)</f>
        <v>-1350296.8</v>
      </c>
      <c r="J17" s="141">
        <f>SUM('пр № 3'!J15)</f>
        <v>-1346267.9</v>
      </c>
    </row>
    <row r="18" spans="1:11" ht="35.25" customHeight="1">
      <c r="A18" s="154" t="s">
        <v>1323</v>
      </c>
      <c r="B18" s="361" t="s">
        <v>1324</v>
      </c>
      <c r="C18" s="361"/>
      <c r="D18" s="361"/>
      <c r="E18" s="361"/>
      <c r="F18" s="361"/>
      <c r="G18" s="361"/>
      <c r="H18" s="140">
        <f t="shared" ref="H18:J20" si="1">SUM(H19)</f>
        <v>1778948.5999999999</v>
      </c>
      <c r="I18" s="140">
        <f t="shared" si="1"/>
        <v>1350296.8</v>
      </c>
      <c r="J18" s="140">
        <f t="shared" si="1"/>
        <v>1346267.9</v>
      </c>
    </row>
    <row r="19" spans="1:11" ht="33.75" customHeight="1">
      <c r="A19" s="163" t="s">
        <v>1325</v>
      </c>
      <c r="B19" s="347" t="s">
        <v>1326</v>
      </c>
      <c r="C19" s="363"/>
      <c r="D19" s="363"/>
      <c r="E19" s="363"/>
      <c r="F19" s="363"/>
      <c r="G19" s="363"/>
      <c r="H19" s="141">
        <f t="shared" si="1"/>
        <v>1778948.5999999999</v>
      </c>
      <c r="I19" s="141">
        <f t="shared" si="1"/>
        <v>1350296.8</v>
      </c>
      <c r="J19" s="141">
        <f t="shared" si="1"/>
        <v>1346267.9</v>
      </c>
    </row>
    <row r="20" spans="1:11" ht="45" customHeight="1">
      <c r="A20" s="163" t="s">
        <v>1327</v>
      </c>
      <c r="B20" s="347" t="s">
        <v>1328</v>
      </c>
      <c r="C20" s="347"/>
      <c r="D20" s="347"/>
      <c r="E20" s="347"/>
      <c r="F20" s="347"/>
      <c r="G20" s="347"/>
      <c r="H20" s="141">
        <f t="shared" si="1"/>
        <v>1778948.5999999999</v>
      </c>
      <c r="I20" s="141">
        <f t="shared" si="1"/>
        <v>1350296.8</v>
      </c>
      <c r="J20" s="141">
        <f t="shared" si="1"/>
        <v>1346267.9</v>
      </c>
    </row>
    <row r="21" spans="1:11" ht="44.25" customHeight="1">
      <c r="A21" s="163" t="s">
        <v>1329</v>
      </c>
      <c r="B21" s="347" t="s">
        <v>1291</v>
      </c>
      <c r="C21" s="363"/>
      <c r="D21" s="363"/>
      <c r="E21" s="363"/>
      <c r="F21" s="363"/>
      <c r="G21" s="363"/>
      <c r="H21" s="141">
        <f>SUM('пр № 3'!H16)</f>
        <v>1778948.5999999999</v>
      </c>
      <c r="I21" s="141">
        <f>SUM('пр № 3'!I16)</f>
        <v>1350296.8</v>
      </c>
      <c r="J21" s="141">
        <f>SUM('пр № 3'!J16)</f>
        <v>1346267.9</v>
      </c>
    </row>
    <row r="22" spans="1:11" ht="44.25" customHeight="1">
      <c r="A22" s="154" t="s">
        <v>1330</v>
      </c>
      <c r="B22" s="361" t="s">
        <v>1306</v>
      </c>
      <c r="C22" s="362"/>
      <c r="D22" s="362"/>
      <c r="E22" s="362"/>
      <c r="F22" s="362"/>
      <c r="G22" s="362"/>
      <c r="H22" s="140">
        <f>SUM(H23+H25)</f>
        <v>30000</v>
      </c>
      <c r="I22" s="140">
        <f>SUM(I23+I25)</f>
        <v>0</v>
      </c>
      <c r="J22" s="140">
        <f>SUM(J23+J25)</f>
        <v>-10000</v>
      </c>
    </row>
    <row r="23" spans="1:11" ht="44.25" customHeight="1">
      <c r="A23" s="154" t="s">
        <v>1331</v>
      </c>
      <c r="B23" s="361" t="s">
        <v>1308</v>
      </c>
      <c r="C23" s="362"/>
      <c r="D23" s="362"/>
      <c r="E23" s="362"/>
      <c r="F23" s="362"/>
      <c r="G23" s="362"/>
      <c r="H23" s="140">
        <f>SUM(H24)</f>
        <v>154000</v>
      </c>
      <c r="I23" s="140">
        <f>SUM(I24)</f>
        <v>246000</v>
      </c>
      <c r="J23" s="140">
        <f>SUM(J24)</f>
        <v>236000</v>
      </c>
    </row>
    <row r="24" spans="1:11" ht="56.25" customHeight="1">
      <c r="A24" s="163" t="s">
        <v>1332</v>
      </c>
      <c r="B24" s="347" t="s">
        <v>1310</v>
      </c>
      <c r="C24" s="363"/>
      <c r="D24" s="363"/>
      <c r="E24" s="363"/>
      <c r="F24" s="363"/>
      <c r="G24" s="363"/>
      <c r="H24" s="80">
        <f>SUM('[1]пр №3 '!H18)</f>
        <v>154000</v>
      </c>
      <c r="I24" s="80">
        <f>SUM('[1]пр №3 '!I18)</f>
        <v>246000</v>
      </c>
      <c r="J24" s="80">
        <f>SUM('[1]пр №3 '!J18)</f>
        <v>236000</v>
      </c>
    </row>
    <row r="25" spans="1:11" ht="55.5" customHeight="1">
      <c r="A25" s="154" t="s">
        <v>1333</v>
      </c>
      <c r="B25" s="361" t="s">
        <v>1312</v>
      </c>
      <c r="C25" s="362"/>
      <c r="D25" s="362"/>
      <c r="E25" s="362"/>
      <c r="F25" s="362"/>
      <c r="G25" s="362"/>
      <c r="H25" s="140">
        <f>H26</f>
        <v>-124000</v>
      </c>
      <c r="I25" s="140">
        <f>I26</f>
        <v>-246000</v>
      </c>
      <c r="J25" s="140">
        <f>J26</f>
        <v>-246000</v>
      </c>
    </row>
    <row r="26" spans="1:11" ht="54" customHeight="1">
      <c r="A26" s="163" t="s">
        <v>1334</v>
      </c>
      <c r="B26" s="347" t="s">
        <v>1285</v>
      </c>
      <c r="C26" s="363"/>
      <c r="D26" s="363"/>
      <c r="E26" s="363"/>
      <c r="F26" s="363"/>
      <c r="G26" s="363"/>
      <c r="H26" s="80">
        <f>SUM('[1]пр №3 '!H19)</f>
        <v>-124000</v>
      </c>
      <c r="I26" s="80">
        <f>SUM('[1]пр №3 '!I19)</f>
        <v>-246000</v>
      </c>
      <c r="J26" s="80">
        <f>SUM('[1]пр №3 '!J19)</f>
        <v>-246000</v>
      </c>
    </row>
    <row r="27" spans="1:11" ht="55.5" customHeight="1">
      <c r="A27" s="165" t="s">
        <v>1335</v>
      </c>
      <c r="B27" s="364" t="s">
        <v>1336</v>
      </c>
      <c r="C27" s="365"/>
      <c r="D27" s="365"/>
      <c r="E27" s="365"/>
      <c r="F27" s="365"/>
      <c r="G27" s="365"/>
      <c r="H27" s="140">
        <f>SUM(H28+H32)</f>
        <v>0</v>
      </c>
      <c r="I27" s="140">
        <f>SUM(I28+I32)</f>
        <v>0</v>
      </c>
      <c r="J27" s="140">
        <f>SUM(J28+J32)</f>
        <v>0</v>
      </c>
    </row>
    <row r="28" spans="1:11" ht="61.5" customHeight="1">
      <c r="A28" s="165" t="s">
        <v>1337</v>
      </c>
      <c r="B28" s="364" t="s">
        <v>1338</v>
      </c>
      <c r="C28" s="364"/>
      <c r="D28" s="364"/>
      <c r="E28" s="364"/>
      <c r="F28" s="364"/>
      <c r="G28" s="364"/>
      <c r="H28" s="140">
        <f>SUM(H29)</f>
        <v>201000</v>
      </c>
      <c r="I28" s="140">
        <f>SUM(I29)</f>
        <v>0</v>
      </c>
      <c r="J28" s="140">
        <f>SUM(J29)</f>
        <v>0</v>
      </c>
    </row>
    <row r="29" spans="1:11" ht="92.25" customHeight="1">
      <c r="A29" s="166" t="s">
        <v>1339</v>
      </c>
      <c r="B29" s="366" t="s">
        <v>1340</v>
      </c>
      <c r="C29" s="366"/>
      <c r="D29" s="366"/>
      <c r="E29" s="366"/>
      <c r="F29" s="366"/>
      <c r="G29" s="366"/>
      <c r="H29" s="141">
        <f>SUM(H30:H31)</f>
        <v>201000</v>
      </c>
      <c r="I29" s="141">
        <f>SUM(I30:I31)</f>
        <v>0</v>
      </c>
      <c r="J29" s="141">
        <f>SUM(J30:J31)</f>
        <v>0</v>
      </c>
      <c r="K29" s="167"/>
    </row>
    <row r="30" spans="1:11" ht="46.5" customHeight="1">
      <c r="A30" s="166"/>
      <c r="B30" s="323" t="s">
        <v>1294</v>
      </c>
      <c r="C30" s="324"/>
      <c r="D30" s="324"/>
      <c r="E30" s="324"/>
      <c r="F30" s="324"/>
      <c r="G30" s="367"/>
      <c r="H30" s="151">
        <f>SUM('пр № 3'!H21)</f>
        <v>171000</v>
      </c>
      <c r="I30" s="168">
        <f>SUM('[1]пр №3 '!I26)</f>
        <v>0</v>
      </c>
      <c r="J30" s="168">
        <f>SUM('[1]пр №3 '!J26)</f>
        <v>0</v>
      </c>
      <c r="K30" s="167"/>
    </row>
    <row r="31" spans="1:11" ht="58.5" customHeight="1">
      <c r="A31" s="166"/>
      <c r="B31" s="323" t="s">
        <v>1341</v>
      </c>
      <c r="C31" s="324"/>
      <c r="D31" s="324"/>
      <c r="E31" s="324"/>
      <c r="F31" s="324"/>
      <c r="G31" s="367"/>
      <c r="H31" s="151">
        <f>SUM('пр № 3'!H22)</f>
        <v>30000</v>
      </c>
      <c r="I31" s="168">
        <f>SUM('[1]пр №3 '!I22)</f>
        <v>0</v>
      </c>
      <c r="J31" s="168">
        <f>SUM('[1]пр №3 '!J22)</f>
        <v>0</v>
      </c>
      <c r="K31" s="167"/>
    </row>
    <row r="32" spans="1:11" ht="79.5" customHeight="1">
      <c r="A32" s="165" t="s">
        <v>1342</v>
      </c>
      <c r="B32" s="364" t="s">
        <v>1343</v>
      </c>
      <c r="C32" s="365"/>
      <c r="D32" s="365"/>
      <c r="E32" s="365"/>
      <c r="F32" s="365"/>
      <c r="G32" s="365"/>
      <c r="H32" s="140">
        <f>SUM(H33)</f>
        <v>-201000</v>
      </c>
      <c r="I32" s="140">
        <f>SUM(I33)</f>
        <v>0</v>
      </c>
      <c r="J32" s="140">
        <f>SUM(J33)</f>
        <v>0</v>
      </c>
    </row>
    <row r="33" spans="1:10" ht="85.5" customHeight="1">
      <c r="A33" s="169" t="s">
        <v>1344</v>
      </c>
      <c r="B33" s="366" t="s">
        <v>1345</v>
      </c>
      <c r="C33" s="366"/>
      <c r="D33" s="366"/>
      <c r="E33" s="366"/>
      <c r="F33" s="366"/>
      <c r="G33" s="366"/>
      <c r="H33" s="141">
        <f>SUM(H38:H39)</f>
        <v>-201000</v>
      </c>
      <c r="I33" s="141">
        <f t="shared" ref="I33:J33" si="2">SUM(I38:I39)</f>
        <v>0</v>
      </c>
      <c r="J33" s="141">
        <f t="shared" si="2"/>
        <v>0</v>
      </c>
    </row>
    <row r="34" spans="1:10" ht="61.5" hidden="1" customHeight="1">
      <c r="A34" s="165" t="s">
        <v>1337</v>
      </c>
      <c r="B34" s="364" t="s">
        <v>1338</v>
      </c>
      <c r="C34" s="364"/>
      <c r="D34" s="364"/>
      <c r="E34" s="364"/>
      <c r="F34" s="364"/>
      <c r="G34" s="364"/>
      <c r="H34" s="140">
        <f>SUM(H35)</f>
        <v>0</v>
      </c>
      <c r="I34" s="140">
        <f>SUM(I35)</f>
        <v>0</v>
      </c>
      <c r="J34" s="140">
        <f>SUM(J35)</f>
        <v>0</v>
      </c>
    </row>
    <row r="35" spans="1:10" ht="92.25" hidden="1" customHeight="1">
      <c r="A35" s="166" t="s">
        <v>1339</v>
      </c>
      <c r="B35" s="368" t="s">
        <v>1298</v>
      </c>
      <c r="C35" s="368"/>
      <c r="D35" s="368"/>
      <c r="E35" s="368"/>
      <c r="F35" s="368"/>
      <c r="G35" s="368"/>
      <c r="H35" s="141"/>
      <c r="I35" s="142">
        <v>0</v>
      </c>
      <c r="J35" s="142">
        <v>0</v>
      </c>
    </row>
    <row r="36" spans="1:10" ht="79.5" hidden="1" customHeight="1">
      <c r="A36" s="165" t="s">
        <v>1342</v>
      </c>
      <c r="B36" s="369" t="s">
        <v>1343</v>
      </c>
      <c r="C36" s="370"/>
      <c r="D36" s="370"/>
      <c r="E36" s="370"/>
      <c r="F36" s="370"/>
      <c r="G36" s="370"/>
      <c r="H36" s="140">
        <f>SUM(H37)</f>
        <v>0</v>
      </c>
      <c r="I36" s="140">
        <f>SUM(I37)</f>
        <v>0</v>
      </c>
      <c r="J36" s="140">
        <f>SUM(J37)</f>
        <v>0</v>
      </c>
    </row>
    <row r="37" spans="1:10" ht="101.25" hidden="1" customHeight="1">
      <c r="A37" s="169" t="s">
        <v>1344</v>
      </c>
      <c r="B37" s="368" t="s">
        <v>1299</v>
      </c>
      <c r="C37" s="368"/>
      <c r="D37" s="368"/>
      <c r="E37" s="368"/>
      <c r="F37" s="368"/>
      <c r="G37" s="368"/>
      <c r="H37" s="141"/>
      <c r="I37" s="142">
        <v>0</v>
      </c>
      <c r="J37" s="142">
        <v>0</v>
      </c>
    </row>
    <row r="38" spans="1:10" ht="57" customHeight="1">
      <c r="A38" s="165"/>
      <c r="B38" s="323" t="s">
        <v>1294</v>
      </c>
      <c r="C38" s="324"/>
      <c r="D38" s="324"/>
      <c r="E38" s="324"/>
      <c r="F38" s="324"/>
      <c r="G38" s="367"/>
      <c r="H38" s="168">
        <f>SUM('пр № 3'!H26)</f>
        <v>-171000</v>
      </c>
      <c r="I38" s="168">
        <f>SUM('[1]пр №3 '!I26)</f>
        <v>0</v>
      </c>
      <c r="J38" s="168">
        <f>SUM('[1]пр №3 '!J26)</f>
        <v>0</v>
      </c>
    </row>
    <row r="39" spans="1:10" ht="60.75" customHeight="1">
      <c r="A39" s="165"/>
      <c r="B39" s="323" t="s">
        <v>1341</v>
      </c>
      <c r="C39" s="324"/>
      <c r="D39" s="324"/>
      <c r="E39" s="324"/>
      <c r="F39" s="324"/>
      <c r="G39" s="367"/>
      <c r="H39" s="168">
        <f>SUM('пр № 3'!H27)</f>
        <v>-30000</v>
      </c>
      <c r="I39" s="168">
        <f>SUM('[1]пр №3 '!I27)</f>
        <v>0</v>
      </c>
      <c r="J39" s="168">
        <f>SUM('[1]пр №3 '!J27)</f>
        <v>0</v>
      </c>
    </row>
    <row r="40" spans="1:10" ht="51.75" customHeight="1">
      <c r="A40" s="154" t="s">
        <v>1300</v>
      </c>
      <c r="B40" s="361" t="s">
        <v>1346</v>
      </c>
      <c r="C40" s="362"/>
      <c r="D40" s="362"/>
      <c r="E40" s="362"/>
      <c r="F40" s="362"/>
      <c r="G40" s="362"/>
      <c r="H40" s="140">
        <f>-H8-H13-H22</f>
        <v>-34010.899999999907</v>
      </c>
      <c r="I40" s="140">
        <f t="shared" ref="I40:J40" si="3">-I8-I13-I22</f>
        <v>0</v>
      </c>
      <c r="J40" s="140">
        <f t="shared" si="3"/>
        <v>10000</v>
      </c>
    </row>
    <row r="41" spans="1:10">
      <c r="H41" s="172"/>
    </row>
    <row r="42" spans="1:10">
      <c r="H42" s="170"/>
    </row>
    <row r="43" spans="1:10">
      <c r="H43" s="170"/>
    </row>
    <row r="44" spans="1:10">
      <c r="H44" s="170"/>
    </row>
    <row r="45" spans="1:10">
      <c r="H45" s="170"/>
    </row>
    <row r="46" spans="1:10">
      <c r="H46" s="170"/>
    </row>
    <row r="47" spans="1:10">
      <c r="H47" s="170"/>
    </row>
    <row r="48" spans="1:10">
      <c r="H48" s="170"/>
    </row>
    <row r="49" spans="8:8">
      <c r="H49" s="170"/>
    </row>
    <row r="50" spans="8:8">
      <c r="H50" s="170"/>
    </row>
    <row r="51" spans="8:8">
      <c r="H51" s="170"/>
    </row>
    <row r="52" spans="8:8">
      <c r="H52" s="170"/>
    </row>
    <row r="53" spans="8:8">
      <c r="H53" s="170"/>
    </row>
    <row r="54" spans="8:8">
      <c r="H54" s="170"/>
    </row>
    <row r="55" spans="8:8">
      <c r="H55" s="170"/>
    </row>
    <row r="56" spans="8:8">
      <c r="H56" s="170"/>
    </row>
    <row r="57" spans="8:8">
      <c r="H57" s="170"/>
    </row>
    <row r="58" spans="8:8">
      <c r="H58" s="170"/>
    </row>
    <row r="59" spans="8:8">
      <c r="H59" s="170"/>
    </row>
    <row r="60" spans="8:8">
      <c r="H60" s="170"/>
    </row>
    <row r="61" spans="8:8">
      <c r="H61" s="170"/>
    </row>
    <row r="62" spans="8:8">
      <c r="H62" s="170"/>
    </row>
    <row r="63" spans="8:8">
      <c r="H63" s="170"/>
    </row>
    <row r="64" spans="8:8">
      <c r="H64" s="170"/>
    </row>
    <row r="65" spans="8:8">
      <c r="H65" s="170"/>
    </row>
    <row r="66" spans="8:8">
      <c r="H66" s="170"/>
    </row>
    <row r="67" spans="8:8">
      <c r="H67" s="170"/>
    </row>
    <row r="68" spans="8:8">
      <c r="H68" s="170"/>
    </row>
    <row r="69" spans="8:8">
      <c r="H69" s="170"/>
    </row>
    <row r="70" spans="8:8">
      <c r="H70" s="170"/>
    </row>
    <row r="71" spans="8:8">
      <c r="H71" s="170"/>
    </row>
    <row r="72" spans="8:8">
      <c r="H72" s="170"/>
    </row>
    <row r="73" spans="8:8">
      <c r="H73" s="170"/>
    </row>
    <row r="74" spans="8:8">
      <c r="H74" s="170"/>
    </row>
    <row r="75" spans="8:8">
      <c r="H75" s="170"/>
    </row>
    <row r="76" spans="8:8">
      <c r="H76" s="170"/>
    </row>
    <row r="77" spans="8:8">
      <c r="H77" s="170"/>
    </row>
    <row r="78" spans="8:8">
      <c r="H78" s="170"/>
    </row>
    <row r="79" spans="8:8">
      <c r="H79" s="170"/>
    </row>
    <row r="80" spans="8:8">
      <c r="H80" s="170"/>
    </row>
    <row r="81" spans="8:8">
      <c r="H81" s="170"/>
    </row>
    <row r="82" spans="8:8">
      <c r="H82" s="170"/>
    </row>
    <row r="83" spans="8:8">
      <c r="H83" s="170"/>
    </row>
    <row r="84" spans="8:8">
      <c r="H84" s="170"/>
    </row>
    <row r="109" spans="1:8" s="173" customFormat="1">
      <c r="A109" s="170"/>
      <c r="B109" s="171"/>
      <c r="C109" s="171"/>
      <c r="D109" s="171"/>
      <c r="E109" s="171"/>
      <c r="F109" s="171"/>
      <c r="G109" s="171"/>
      <c r="H109" s="57"/>
    </row>
    <row r="114" spans="1:8">
      <c r="A114" s="174"/>
      <c r="B114" s="173"/>
      <c r="C114" s="175"/>
      <c r="D114" s="175"/>
      <c r="E114" s="175"/>
      <c r="F114" s="175"/>
      <c r="G114" s="175"/>
      <c r="H114" s="173"/>
    </row>
  </sheetData>
  <mergeCells count="40">
    <mergeCell ref="B40:G40"/>
    <mergeCell ref="B29:G29"/>
    <mergeCell ref="B30:G30"/>
    <mergeCell ref="B31:G31"/>
    <mergeCell ref="B32:G32"/>
    <mergeCell ref="B33:G33"/>
    <mergeCell ref="B34:G34"/>
    <mergeCell ref="B35:G35"/>
    <mergeCell ref="B36:G36"/>
    <mergeCell ref="B37:G37"/>
    <mergeCell ref="B38:G38"/>
    <mergeCell ref="B39:G39"/>
    <mergeCell ref="B28:G28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A1:J1"/>
    <mergeCell ref="A2:J2"/>
    <mergeCell ref="A3:J3"/>
    <mergeCell ref="A4:J4"/>
    <mergeCell ref="B16:G16"/>
    <mergeCell ref="A5:A7"/>
    <mergeCell ref="B5:G7"/>
    <mergeCell ref="H5:J6"/>
    <mergeCell ref="B8:G8"/>
    <mergeCell ref="B9:G9"/>
    <mergeCell ref="B10:G10"/>
    <mergeCell ref="B11:G11"/>
    <mergeCell ref="B12:G12"/>
    <mergeCell ref="B13:G13"/>
    <mergeCell ref="B14:G14"/>
    <mergeCell ref="B15:G15"/>
  </mergeCells>
  <pageMargins left="0.9055118110236221" right="0.70866141732283472" top="0.74803149606299213" bottom="0.74803149606299213" header="0.31496062992125984" footer="0.31496062992125984"/>
  <pageSetup paperSize="9" scale="64" firstPageNumber="137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пр№1</vt:lpstr>
      <vt:lpstr>пр№2 </vt:lpstr>
      <vt:lpstr>пр № 7</vt:lpstr>
      <vt:lpstr>ПР № 12</vt:lpstr>
      <vt:lpstr>пр № 3</vt:lpstr>
      <vt:lpstr>пр № 4</vt:lpstr>
      <vt:lpstr>пр №5</vt:lpstr>
      <vt:lpstr>пр № 6</vt:lpstr>
      <vt:lpstr>'ПР № 12'!Область_печати</vt:lpstr>
      <vt:lpstr>'пр № 4'!Область_печати</vt:lpstr>
      <vt:lpstr>'пр № 7'!Область_печати</vt:lpstr>
      <vt:lpstr>'пр №5'!Область_печати</vt:lpstr>
      <vt:lpstr>'пр№2 '!Область_печати</vt:lpstr>
    </vt:vector>
  </TitlesOfParts>
  <Company>IVAFIN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 Ольга Валерьевна</dc:creator>
  <cp:lastModifiedBy>Любовь Клочкова</cp:lastModifiedBy>
  <cp:lastPrinted>2019-09-17T10:38:04Z</cp:lastPrinted>
  <dcterms:created xsi:type="dcterms:W3CDTF">2005-02-25T08:58:00Z</dcterms:created>
  <dcterms:modified xsi:type="dcterms:W3CDTF">2019-09-17T10:52:14Z</dcterms:modified>
</cp:coreProperties>
</file>