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14505" yWindow="945" windowWidth="14340" windowHeight="11985" tabRatio="820" activeTab="6"/>
  </bookViews>
  <sheets>
    <sheet name="пр№1" sheetId="109" r:id="rId1"/>
    <sheet name="пр№2 " sheetId="106" r:id="rId2"/>
    <sheet name="пр № 7" sheetId="69" state="hidden" r:id="rId3"/>
    <sheet name="пр №3 " sheetId="148" r:id="rId4"/>
    <sheet name="ПР № 12" sheetId="96" state="hidden" r:id="rId5"/>
    <sheet name="пр № 4" sheetId="154" r:id="rId6"/>
    <sheet name="пр №5" sheetId="155" r:id="rId7"/>
    <sheet name="пр№ 6" sheetId="149" r:id="rId8"/>
    <sheet name="пр№7" sheetId="153" r:id="rId9"/>
  </sheets>
  <definedNames>
    <definedName name="_xlnm._FilterDatabase" localSheetId="1" hidden="1">'пр№2 '!#REF!</definedName>
    <definedName name="_xlnm.Print_Area" localSheetId="4">'ПР № 12'!$A$1:$J$20</definedName>
    <definedName name="_xlnm.Print_Area" localSheetId="2">'пр № 7'!$A$1:$J$99</definedName>
    <definedName name="_xlnm.Print_Area" localSheetId="3">'пр №3 '!$A$1:$J$28</definedName>
    <definedName name="_xlnm.Print_Area" localSheetId="7">'пр№ 6'!$A$1:$J$43</definedName>
    <definedName name="_xlnm.Print_Area" localSheetId="0">пр№1!$A$1:$E$136</definedName>
    <definedName name="_xlnm.Print_Area" localSheetId="1">'пр№2 '!$A$1:$E$121</definedName>
  </definedNames>
  <calcPr calcId="125725"/>
</workbook>
</file>

<file path=xl/calcChain.xml><?xml version="1.0" encoding="utf-8"?>
<calcChain xmlns="http://schemas.openxmlformats.org/spreadsheetml/2006/main">
  <c r="K15" i="153"/>
  <c r="K16"/>
  <c r="K17"/>
  <c r="K18"/>
  <c r="K19"/>
  <c r="K20"/>
  <c r="K21"/>
  <c r="K14"/>
  <c r="H22" i="148" l="1"/>
  <c r="H27"/>
  <c r="C136" i="109" l="1"/>
  <c r="C7"/>
  <c r="C48"/>
  <c r="C58"/>
  <c r="C70"/>
  <c r="C74"/>
  <c r="C104"/>
  <c r="C108"/>
  <c r="C121" i="106"/>
  <c r="D97" l="1"/>
  <c r="E97"/>
  <c r="C97"/>
  <c r="C102" l="1"/>
  <c r="C115"/>
  <c r="C92" l="1"/>
  <c r="C88"/>
  <c r="C111" i="109"/>
  <c r="C134"/>
  <c r="C112"/>
  <c r="C116"/>
  <c r="C123"/>
  <c r="C124"/>
  <c r="C128"/>
  <c r="I42" i="149"/>
  <c r="J42"/>
  <c r="H42"/>
  <c r="I41"/>
  <c r="J41"/>
  <c r="H41"/>
  <c r="I33"/>
  <c r="J33"/>
  <c r="H33"/>
  <c r="I34"/>
  <c r="J34"/>
  <c r="H34"/>
  <c r="M19" i="153"/>
  <c r="L19"/>
  <c r="M16"/>
  <c r="L16"/>
  <c r="M13"/>
  <c r="L13"/>
  <c r="K13"/>
  <c r="M10"/>
  <c r="M9" s="1"/>
  <c r="K10"/>
  <c r="K9" s="1"/>
  <c r="I29" i="149"/>
  <c r="J29"/>
  <c r="J27"/>
  <c r="J16" i="148"/>
  <c r="J24" i="149" s="1"/>
  <c r="J15" i="148"/>
  <c r="J20" i="149" s="1"/>
  <c r="I16" i="148"/>
  <c r="I24" i="149" s="1"/>
  <c r="L10" i="153" l="1"/>
  <c r="L9" s="1"/>
  <c r="I18" i="148" l="1"/>
  <c r="H19"/>
  <c r="H18"/>
  <c r="H27" i="149" l="1"/>
  <c r="H29"/>
  <c r="I15" i="148"/>
  <c r="I20" i="149" s="1"/>
  <c r="I27"/>
  <c r="C38" i="106"/>
  <c r="C46"/>
  <c r="D136" i="109"/>
  <c r="C20"/>
  <c r="C26"/>
  <c r="C25"/>
  <c r="C21" l="1"/>
  <c r="C22"/>
  <c r="C110"/>
  <c r="C43" i="106"/>
  <c r="C110"/>
  <c r="E7" i="109" l="1"/>
  <c r="D7"/>
  <c r="E48"/>
  <c r="D48"/>
  <c r="E70"/>
  <c r="D70"/>
  <c r="E66" l="1"/>
  <c r="D66"/>
  <c r="C66"/>
  <c r="D75" l="1"/>
  <c r="E75"/>
  <c r="C75"/>
  <c r="D73"/>
  <c r="E73"/>
  <c r="C73"/>
  <c r="E49"/>
  <c r="D49"/>
  <c r="C49"/>
  <c r="C59"/>
  <c r="C61"/>
  <c r="E78" l="1"/>
  <c r="E103"/>
  <c r="E102" s="1"/>
  <c r="E106"/>
  <c r="D106"/>
  <c r="C106"/>
  <c r="D78"/>
  <c r="C78"/>
  <c r="D103"/>
  <c r="D102" s="1"/>
  <c r="C103"/>
  <c r="E101"/>
  <c r="D101"/>
  <c r="C101"/>
  <c r="E100"/>
  <c r="D100"/>
  <c r="C100"/>
  <c r="E92"/>
  <c r="D92"/>
  <c r="C92"/>
  <c r="E94"/>
  <c r="D94"/>
  <c r="C94"/>
  <c r="C102"/>
  <c r="E95"/>
  <c r="D95"/>
  <c r="C95"/>
  <c r="E89"/>
  <c r="E88" s="1"/>
  <c r="D89"/>
  <c r="D88" s="1"/>
  <c r="C89"/>
  <c r="C88" s="1"/>
  <c r="E83"/>
  <c r="D83"/>
  <c r="C83"/>
  <c r="E85"/>
  <c r="D85"/>
  <c r="C85"/>
  <c r="E84"/>
  <c r="D84"/>
  <c r="C84"/>
  <c r="E82"/>
  <c r="D82"/>
  <c r="C82"/>
  <c r="D79"/>
  <c r="C79"/>
  <c r="E81"/>
  <c r="D81"/>
  <c r="C81"/>
  <c r="E80"/>
  <c r="D80"/>
  <c r="C80"/>
  <c r="E93"/>
  <c r="D93"/>
  <c r="C93"/>
  <c r="D59"/>
  <c r="C60"/>
  <c r="E61"/>
  <c r="E60" s="1"/>
  <c r="D61"/>
  <c r="D60" s="1"/>
  <c r="D67"/>
  <c r="E67"/>
  <c r="C67"/>
  <c r="D57"/>
  <c r="E57"/>
  <c r="C57"/>
  <c r="D55"/>
  <c r="D54" s="1"/>
  <c r="E55"/>
  <c r="E54" s="1"/>
  <c r="C55"/>
  <c r="C54" s="1"/>
  <c r="D52"/>
  <c r="E52"/>
  <c r="C52"/>
  <c r="D50"/>
  <c r="E50"/>
  <c r="C50"/>
  <c r="E33"/>
  <c r="D33"/>
  <c r="C33"/>
  <c r="E37"/>
  <c r="E36" s="1"/>
  <c r="D37"/>
  <c r="D36" s="1"/>
  <c r="C37"/>
  <c r="C36" s="1"/>
  <c r="E35"/>
  <c r="E34" s="1"/>
  <c r="D35"/>
  <c r="D34" s="1"/>
  <c r="C35"/>
  <c r="C34" s="1"/>
  <c r="E27"/>
  <c r="D27"/>
  <c r="C27"/>
  <c r="E30"/>
  <c r="D30"/>
  <c r="C30"/>
  <c r="E32"/>
  <c r="D32"/>
  <c r="C32"/>
  <c r="E31"/>
  <c r="D31"/>
  <c r="C31"/>
  <c r="E29"/>
  <c r="E28" s="1"/>
  <c r="D29"/>
  <c r="D28" s="1"/>
  <c r="C29"/>
  <c r="C28" s="1"/>
  <c r="D26"/>
  <c r="E26"/>
  <c r="E25"/>
  <c r="D25"/>
  <c r="E23"/>
  <c r="D23"/>
  <c r="C23"/>
  <c r="E24"/>
  <c r="D24"/>
  <c r="C24"/>
  <c r="E21"/>
  <c r="D21"/>
  <c r="E15"/>
  <c r="E14" s="1"/>
  <c r="D15"/>
  <c r="D14" s="1"/>
  <c r="C15"/>
  <c r="C14" s="1"/>
  <c r="E9"/>
  <c r="E8" s="1"/>
  <c r="C9"/>
  <c r="C8" s="1"/>
  <c r="D9"/>
  <c r="D8" s="1"/>
  <c r="F7" l="1"/>
  <c r="E105" i="106"/>
  <c r="E99" s="1"/>
  <c r="D105"/>
  <c r="D99" s="1"/>
  <c r="C105"/>
  <c r="C99" s="1"/>
  <c r="D13" l="1"/>
  <c r="E13"/>
  <c r="G59" i="109" l="1"/>
  <c r="H59"/>
  <c r="C13" i="106" l="1"/>
  <c r="F59" i="109"/>
  <c r="D105" l="1"/>
  <c r="E105"/>
  <c r="D113"/>
  <c r="E113"/>
  <c r="G38" i="106" l="1"/>
  <c r="H38"/>
  <c r="G38" i="109"/>
  <c r="H38"/>
  <c r="F38"/>
  <c r="I36" i="149"/>
  <c r="J36"/>
  <c r="J32"/>
  <c r="I32"/>
  <c r="H36"/>
  <c r="H35" s="1"/>
  <c r="I23" i="148"/>
  <c r="J23"/>
  <c r="I20"/>
  <c r="J20"/>
  <c r="H32" i="149"/>
  <c r="H31" s="1"/>
  <c r="H23" i="148" l="1"/>
  <c r="H16" s="1"/>
  <c r="H20"/>
  <c r="C74" i="106"/>
  <c r="H15" i="148" l="1"/>
  <c r="H20" i="149" s="1"/>
  <c r="H24"/>
  <c r="C72" i="106"/>
  <c r="D72"/>
  <c r="E72"/>
  <c r="C133" i="109" l="1"/>
  <c r="H116"/>
  <c r="G116"/>
  <c r="F116"/>
  <c r="G74" i="106" l="1"/>
  <c r="H74"/>
  <c r="F74"/>
  <c r="D74"/>
  <c r="E74"/>
  <c r="J39" i="149"/>
  <c r="I39"/>
  <c r="H39"/>
  <c r="J37"/>
  <c r="I37"/>
  <c r="H37"/>
  <c r="J35"/>
  <c r="I35"/>
  <c r="J31"/>
  <c r="I31"/>
  <c r="J28"/>
  <c r="I28"/>
  <c r="H28"/>
  <c r="I26"/>
  <c r="H26"/>
  <c r="J26"/>
  <c r="J15"/>
  <c r="I15"/>
  <c r="H15"/>
  <c r="J13"/>
  <c r="I13"/>
  <c r="H13"/>
  <c r="J17" i="148"/>
  <c r="H17"/>
  <c r="I17"/>
  <c r="J13"/>
  <c r="I13"/>
  <c r="H13"/>
  <c r="J12"/>
  <c r="I12"/>
  <c r="H12"/>
  <c r="C138" i="109"/>
  <c r="F49"/>
  <c r="F27"/>
  <c r="F20"/>
  <c r="F8"/>
  <c r="G124"/>
  <c r="H124"/>
  <c r="F124"/>
  <c r="H7"/>
  <c r="G7"/>
  <c r="D111" i="106"/>
  <c r="E111"/>
  <c r="D70"/>
  <c r="E70"/>
  <c r="C70"/>
  <c r="D68"/>
  <c r="E68"/>
  <c r="C68"/>
  <c r="D66"/>
  <c r="E66"/>
  <c r="C66"/>
  <c r="D59"/>
  <c r="E59"/>
  <c r="C59"/>
  <c r="D36"/>
  <c r="E36"/>
  <c r="C36"/>
  <c r="D34"/>
  <c r="E34"/>
  <c r="C34"/>
  <c r="D31"/>
  <c r="E31"/>
  <c r="C31"/>
  <c r="D29"/>
  <c r="E29"/>
  <c r="C29"/>
  <c r="D24"/>
  <c r="E24"/>
  <c r="C24"/>
  <c r="D20"/>
  <c r="E20"/>
  <c r="C20"/>
  <c r="D11"/>
  <c r="E11"/>
  <c r="C11"/>
  <c r="D9"/>
  <c r="E9"/>
  <c r="C9"/>
  <c r="G112" i="109"/>
  <c r="H112"/>
  <c r="C113"/>
  <c r="G111"/>
  <c r="H111"/>
  <c r="F111"/>
  <c r="C105"/>
  <c r="G104"/>
  <c r="H104"/>
  <c r="F104"/>
  <c r="G92"/>
  <c r="H92"/>
  <c r="F92"/>
  <c r="G83"/>
  <c r="H83"/>
  <c r="F83"/>
  <c r="G79"/>
  <c r="H79"/>
  <c r="F79"/>
  <c r="H70"/>
  <c r="G66"/>
  <c r="H66"/>
  <c r="F66"/>
  <c r="G49"/>
  <c r="H49"/>
  <c r="G33"/>
  <c r="H33"/>
  <c r="F33"/>
  <c r="G30"/>
  <c r="H30"/>
  <c r="G27"/>
  <c r="H27"/>
  <c r="G20"/>
  <c r="H20"/>
  <c r="G15"/>
  <c r="H15"/>
  <c r="F15"/>
  <c r="G14"/>
  <c r="H14"/>
  <c r="F14"/>
  <c r="G9"/>
  <c r="H9"/>
  <c r="G8"/>
  <c r="H8"/>
  <c r="E138"/>
  <c r="D138"/>
  <c r="I27" i="69"/>
  <c r="J27"/>
  <c r="H27"/>
  <c r="I29"/>
  <c r="J29"/>
  <c r="H29"/>
  <c r="H25"/>
  <c r="I25"/>
  <c r="J25"/>
  <c r="I37"/>
  <c r="J37"/>
  <c r="H37"/>
  <c r="I8"/>
  <c r="J8"/>
  <c r="H8"/>
  <c r="I17"/>
  <c r="J17"/>
  <c r="H17"/>
  <c r="I52"/>
  <c r="J52"/>
  <c r="H52"/>
  <c r="I65"/>
  <c r="J65"/>
  <c r="H65"/>
  <c r="I97"/>
  <c r="J97"/>
  <c r="H97"/>
  <c r="I95"/>
  <c r="J95"/>
  <c r="H95"/>
  <c r="I93"/>
  <c r="J93"/>
  <c r="H93"/>
  <c r="I50"/>
  <c r="J50"/>
  <c r="H50"/>
  <c r="I70"/>
  <c r="J70"/>
  <c r="H70"/>
  <c r="I68"/>
  <c r="J68"/>
  <c r="H68"/>
  <c r="I31"/>
  <c r="J31"/>
  <c r="H31"/>
  <c r="I41"/>
  <c r="J41"/>
  <c r="H41"/>
  <c r="I35"/>
  <c r="J35"/>
  <c r="H35"/>
  <c r="I46"/>
  <c r="J46"/>
  <c r="H46"/>
  <c r="I61"/>
  <c r="J61"/>
  <c r="H61"/>
  <c r="I91"/>
  <c r="I44"/>
  <c r="J44"/>
  <c r="H44"/>
  <c r="I63"/>
  <c r="J63"/>
  <c r="H63"/>
  <c r="I74"/>
  <c r="I23"/>
  <c r="I55"/>
  <c r="I57"/>
  <c r="I59"/>
  <c r="I72"/>
  <c r="I77"/>
  <c r="I79"/>
  <c r="I81"/>
  <c r="I83"/>
  <c r="I85"/>
  <c r="I87"/>
  <c r="I89"/>
  <c r="I48"/>
  <c r="J74"/>
  <c r="J23"/>
  <c r="J55"/>
  <c r="J57"/>
  <c r="J59"/>
  <c r="J72"/>
  <c r="J77"/>
  <c r="J79"/>
  <c r="J81"/>
  <c r="J83"/>
  <c r="J85"/>
  <c r="J87"/>
  <c r="J89"/>
  <c r="J91"/>
  <c r="J48"/>
  <c r="H74"/>
  <c r="H23"/>
  <c r="H55"/>
  <c r="H57"/>
  <c r="H59"/>
  <c r="H72"/>
  <c r="H77"/>
  <c r="H79"/>
  <c r="H81"/>
  <c r="H83"/>
  <c r="H85"/>
  <c r="H87"/>
  <c r="H89"/>
  <c r="H91"/>
  <c r="H48"/>
  <c r="I11"/>
  <c r="J11"/>
  <c r="H11"/>
  <c r="F9" i="109"/>
  <c r="D123" i="106" l="1"/>
  <c r="E123"/>
  <c r="F112" i="109"/>
  <c r="J12" i="149"/>
  <c r="J14"/>
  <c r="J23"/>
  <c r="J22" s="1"/>
  <c r="J21" s="1"/>
  <c r="H23"/>
  <c r="H22" s="1"/>
  <c r="H21" s="1"/>
  <c r="F38" i="106"/>
  <c r="F48" i="109"/>
  <c r="F78"/>
  <c r="H12" i="149"/>
  <c r="G70" i="109"/>
  <c r="F70"/>
  <c r="H14" i="149"/>
  <c r="J30"/>
  <c r="I16"/>
  <c r="G78" i="109"/>
  <c r="I25" i="149"/>
  <c r="J25"/>
  <c r="I14" i="148"/>
  <c r="I11" s="1"/>
  <c r="I28" s="1"/>
  <c r="H25" i="149"/>
  <c r="G48" i="109"/>
  <c r="C111" i="106"/>
  <c r="C123" s="1"/>
  <c r="H99" i="69"/>
  <c r="I99"/>
  <c r="J99"/>
  <c r="H48" i="109"/>
  <c r="H78"/>
  <c r="F30"/>
  <c r="I30" i="149"/>
  <c r="H30"/>
  <c r="J19"/>
  <c r="J18" s="1"/>
  <c r="J17" s="1"/>
  <c r="I19"/>
  <c r="I18" s="1"/>
  <c r="I17" s="1"/>
  <c r="H19"/>
  <c r="H18" s="1"/>
  <c r="H17" s="1"/>
  <c r="I12"/>
  <c r="I14"/>
  <c r="H14" i="148"/>
  <c r="H11" s="1"/>
  <c r="H28" s="1"/>
  <c r="J11" i="149" l="1"/>
  <c r="H16"/>
  <c r="H11"/>
  <c r="J16"/>
  <c r="J43" s="1"/>
  <c r="I23"/>
  <c r="I22" s="1"/>
  <c r="I21" s="1"/>
  <c r="I11"/>
  <c r="I43" s="1"/>
  <c r="J14" i="148"/>
  <c r="J11" s="1"/>
  <c r="J28" s="1"/>
  <c r="H43" i="149" l="1"/>
</calcChain>
</file>

<file path=xl/sharedStrings.xml><?xml version="1.0" encoding="utf-8"?>
<sst xmlns="http://schemas.openxmlformats.org/spreadsheetml/2006/main" count="6489" uniqueCount="1405">
  <si>
    <t>Перечень</t>
  </si>
  <si>
    <t>(тыс. руб.)</t>
  </si>
  <si>
    <t>(тыс.руб.)</t>
  </si>
  <si>
    <t>НАЛОГОВЫЕ И НЕНАЛОГОВЫЕ ДОХОДЫ</t>
  </si>
  <si>
    <t>05</t>
  </si>
  <si>
    <t>11</t>
  </si>
  <si>
    <t>13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</si>
  <si>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</si>
  <si>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</si>
  <si>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</si>
  <si>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</si>
  <si>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</si>
  <si>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</si>
  <si>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</si>
  <si>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</si>
  <si>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</si>
  <si>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</si>
  <si>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</si>
  <si>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</si>
  <si>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</si>
  <si>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</si>
  <si>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</si>
  <si>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</si>
  <si>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</si>
  <si>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</si>
  <si>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</si>
  <si>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</si>
  <si>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</si>
  <si>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</si>
  <si>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</si>
  <si>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</si>
  <si>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Уменьшение прочих остатков денежных средств бюджетов</t>
  </si>
  <si>
    <t>1.</t>
  </si>
  <si>
    <t>2.</t>
  </si>
  <si>
    <t>3.</t>
  </si>
  <si>
    <t>4.</t>
  </si>
  <si>
    <t>5.</t>
  </si>
  <si>
    <t>0707</t>
  </si>
  <si>
    <t>954 01 05 02 01 00 0000 510</t>
  </si>
  <si>
    <t>954 01 05 02 01 04 0000  510</t>
  </si>
  <si>
    <t>ИТОГО</t>
  </si>
  <si>
    <t>Наименование</t>
  </si>
  <si>
    <t>Управление образования администрации городского округа Кинешма</t>
  </si>
  <si>
    <t>Погашение бюджетами городских округов кредитов от кредитных организаций в валюте Российской Федерации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</si>
  <si>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</si>
  <si>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</si>
  <si>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</si>
  <si>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</si>
  <si>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</si>
  <si>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</si>
  <si>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954 01 02 00 00 00 0000 810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</si>
  <si>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</si>
  <si>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</si>
  <si>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</si>
  <si>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</si>
  <si>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</si>
  <si>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Увеличение прочих остатков средств бюджетов</t>
  </si>
  <si>
    <t>Уменьшение прочих остатков средств бюджетов</t>
  </si>
  <si>
    <t>1.1</t>
  </si>
  <si>
    <t>Код 
классификации</t>
  </si>
  <si>
    <t>954 01 05 02 00 00 0000 600</t>
  </si>
  <si>
    <t>954 01 05 02 01 00 0000 610</t>
  </si>
  <si>
    <t>Уменьшение остатков средств бюджетов</t>
  </si>
  <si>
    <t>Код бюджетной классификации
Российской Федерации</t>
  </si>
  <si>
    <t>5800,0</t>
  </si>
  <si>
    <t>По заимствованиям
муниципальное унитарное  предприятие "Водоканал"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</si>
  <si>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</si>
  <si>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</si>
  <si>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городских округов в валюте Российской Федерации</t>
  </si>
  <si>
    <t>Раздел,
подраздел</t>
  </si>
  <si>
    <t>954 01 02 00 00 04 0000 810</t>
  </si>
  <si>
    <t>Целевая 
статья</t>
  </si>
  <si>
    <t>Вид
расхода</t>
  </si>
  <si>
    <t>953</t>
  </si>
  <si>
    <t>958</t>
  </si>
  <si>
    <t>951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</si>
  <si>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</si>
  <si>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</si>
  <si>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</si>
  <si>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</si>
  <si>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</si>
  <si>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</si>
  <si>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954 01 05 00 00 00 0000 600</t>
  </si>
  <si>
    <t>Увеличение остатков средств бюджетов</t>
  </si>
  <si>
    <t>Прочие неналоговые доходы бюджетов городских округов</t>
  </si>
  <si>
    <t xml:space="preserve">Наименование администратора 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</si>
  <si>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</si>
  <si>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</si>
  <si>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</si>
  <si>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</si>
  <si>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</si>
  <si>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</si>
  <si>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</si>
  <si>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</si>
  <si>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</si>
  <si>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</si>
  <si>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</si>
  <si>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</si>
  <si>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</si>
  <si>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</si>
  <si>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</si>
  <si>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</si>
  <si>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</si>
  <si>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</si>
  <si>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</si>
  <si>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</si>
  <si>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</si>
  <si>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</si>
  <si>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Уменьшение прочих остатков денежных средств бюджетов городских округов</t>
  </si>
  <si>
    <t>Комитет по физической культуре и спорту администрации городского округа Кинешма"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</si>
  <si>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</si>
  <si>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</si>
  <si>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</si>
  <si>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</si>
  <si>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</si>
  <si>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</si>
  <si>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</si>
  <si>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</si>
  <si>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</si>
  <si>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</si>
  <si>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</si>
  <si>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</si>
  <si>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</si>
  <si>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</si>
  <si>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</si>
  <si>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</si>
  <si>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01 05 00 00 00 0000 000</t>
  </si>
  <si>
    <t>Изменение остатков средств на счетах  по учету средств бюджета</t>
  </si>
  <si>
    <t>Погашение кредитов, полученных в валюте Российской Федерации от кредитных организаций</t>
  </si>
  <si>
    <t>№</t>
  </si>
  <si>
    <t>954 01 05 00 00 00 0000 500</t>
  </si>
  <si>
    <t>954 01 05 02 00 00 0000 500</t>
  </si>
  <si>
    <t>954 01 05 02 01 04 0000 610</t>
  </si>
  <si>
    <t>000 01 00 00 00 00 0000 000</t>
  </si>
  <si>
    <t>01 02 00 00 04 0000 710</t>
  </si>
  <si>
    <t>01 05 02 01 04 0000 510</t>
  </si>
  <si>
    <t>01 05 02 01 04 0000 610</t>
  </si>
  <si>
    <t>954 01 05 00 00 00 0000 000</t>
  </si>
  <si>
    <t>954 01 02 00 00 00 0000 000</t>
  </si>
  <si>
    <t>954 01 02 00 00 00 0000 700</t>
  </si>
  <si>
    <t>954 01 02 00 00 04 0000 710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</si>
  <si>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</si>
  <si>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</si>
  <si>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</si>
  <si>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</si>
  <si>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</si>
  <si>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</si>
  <si>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</si>
  <si>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</si>
  <si>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</si>
  <si>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</si>
  <si>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</si>
  <si>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</si>
  <si>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</si>
  <si>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</si>
  <si>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</si>
  <si>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Финансовое управление  администрации
 городского округа Кинешма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</si>
  <si>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</si>
  <si>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</si>
  <si>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</si>
  <si>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</si>
  <si>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</si>
  <si>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</si>
  <si>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</si>
  <si>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</si>
  <si>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</si>
  <si>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>городская Дума городского округа Кинешма</t>
  </si>
  <si>
    <t>962</t>
  </si>
  <si>
    <t>Контрольно-счетная комиссия городского округа Кинешма</t>
  </si>
  <si>
    <t>963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</si>
  <si>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</si>
  <si>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</si>
  <si>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</si>
  <si>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</si>
  <si>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</si>
  <si>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</si>
  <si>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</si>
  <si>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</si>
  <si>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</si>
  <si>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</si>
  <si>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</si>
  <si>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</si>
  <si>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</si>
  <si>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</si>
  <si>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</si>
  <si>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</si>
  <si>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</si>
  <si>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</si>
  <si>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</si>
  <si>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</si>
  <si>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</si>
  <si>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</si>
  <si>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</si>
  <si>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</si>
  <si>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</si>
  <si>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</si>
  <si>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</si>
  <si>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</si>
  <si>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</si>
  <si>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</si>
  <si>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</si>
  <si>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</si>
  <si>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</si>
  <si>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</si>
  <si>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</si>
  <si>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</si>
  <si>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</si>
  <si>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</si>
  <si>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</si>
  <si>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</si>
  <si>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</si>
  <si>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</si>
  <si>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</si>
  <si>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</si>
  <si>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</si>
  <si>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</si>
  <si>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</si>
  <si>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</si>
  <si>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</si>
  <si>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</si>
  <si>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</si>
  <si>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</si>
  <si>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1 16 03000 00 0000 140</t>
  </si>
  <si>
    <t>Денежные взыскания (штрафы) за нарушение законодательства о налогах и сборах</t>
  </si>
  <si>
    <t xml:space="preserve"> 1 16 90000 00 0000 140</t>
  </si>
  <si>
    <t>Прочие поступления от денежных взысканий (штрафов) и иных сумм в возмещение ущерба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</si>
  <si>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</si>
  <si>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</si>
  <si>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</si>
  <si>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</si>
  <si>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</si>
  <si>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</si>
  <si>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</si>
  <si>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</si>
  <si>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04</t>
  </si>
  <si>
    <t>12</t>
  </si>
  <si>
    <t>07</t>
  </si>
  <si>
    <t>02</t>
  </si>
  <si>
    <t>08</t>
  </si>
  <si>
    <t>01</t>
  </si>
  <si>
    <t>09</t>
  </si>
  <si>
    <t>03</t>
  </si>
  <si>
    <t>10</t>
  </si>
  <si>
    <t>06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</si>
  <si>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</si>
  <si>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</si>
  <si>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</si>
  <si>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</si>
  <si>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</si>
  <si>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</si>
  <si>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</si>
  <si>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</si>
  <si>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</si>
  <si>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</si>
  <si>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</si>
  <si>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</si>
  <si>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</si>
  <si>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</si>
  <si>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</si>
  <si>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</si>
  <si>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</si>
  <si>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</si>
  <si>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</si>
  <si>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</si>
  <si>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</si>
  <si>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1 16 25000 00 0000 140</t>
  </si>
  <si>
    <t>1 16 25060 01 0000 140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</si>
  <si>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</si>
  <si>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</si>
  <si>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</si>
  <si>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</si>
  <si>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</si>
  <si>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</si>
  <si>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</si>
  <si>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</si>
  <si>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</si>
  <si>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</si>
  <si>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</si>
  <si>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</si>
  <si>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</si>
  <si>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</si>
  <si>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</si>
  <si>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</si>
  <si>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</si>
  <si>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</si>
  <si>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</si>
  <si>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</si>
  <si>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</si>
  <si>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</si>
  <si>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</si>
  <si>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</si>
  <si>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</si>
  <si>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</si>
  <si>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</si>
  <si>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</si>
  <si>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1 16 33000 00 0000 140 </t>
  </si>
  <si>
    <t xml:space="preserve">1 16 33040 04 0000 140 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</si>
  <si>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</si>
  <si>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</si>
  <si>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</si>
  <si>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</si>
  <si>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</si>
  <si>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</si>
  <si>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</si>
  <si>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</si>
  <si>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</si>
  <si>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</si>
  <si>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</si>
  <si>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</si>
  <si>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</si>
  <si>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1 03 02230 01 0000 110</t>
  </si>
  <si>
    <t>1 03 02240 01 0000 110</t>
  </si>
  <si>
    <t>100</t>
  </si>
  <si>
    <t>200</t>
  </si>
  <si>
    <t>800</t>
  </si>
  <si>
    <t>600</t>
  </si>
  <si>
    <t>700</t>
  </si>
  <si>
    <t>400</t>
  </si>
  <si>
    <t>300</t>
  </si>
  <si>
    <t>Управление Федерального казначейства по Ивановской области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</si>
  <si>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</si>
  <si>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
</t>
  </si>
  <si>
    <t>1 16 08010 01 0000 140</t>
  </si>
  <si>
    <t>1 16 43000 01 0000 140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</si>
  <si>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
</t>
  </si>
  <si>
    <t>1 16 51020 02 0000 140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</si>
  <si>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</si>
  <si>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</si>
  <si>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</si>
  <si>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</si>
  <si>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</si>
  <si>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</si>
  <si>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</si>
  <si>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</si>
  <si>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</si>
  <si>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</si>
  <si>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</si>
  <si>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</si>
  <si>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</si>
  <si>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</si>
  <si>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</si>
  <si>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</si>
  <si>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</si>
  <si>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</si>
  <si>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</si>
  <si>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</si>
  <si>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</si>
  <si>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</si>
  <si>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</si>
  <si>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</si>
  <si>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
</t>
  </si>
  <si>
    <t>4100000000</t>
  </si>
  <si>
    <t>4130100000</t>
  </si>
  <si>
    <t>4130100040</t>
  </si>
  <si>
    <t>4130180150</t>
  </si>
  <si>
    <t>4130180160</t>
  </si>
  <si>
    <t>4110000000</t>
  </si>
  <si>
    <t>4110100000</t>
  </si>
  <si>
    <t>4110100030</t>
  </si>
  <si>
    <t>4110180100</t>
  </si>
  <si>
    <t>4110180170</t>
  </si>
  <si>
    <t>4140000000</t>
  </si>
  <si>
    <t>4140100000</t>
  </si>
  <si>
    <t>4140100060</t>
  </si>
  <si>
    <t>4140200000</t>
  </si>
  <si>
    <t>4160000000</t>
  </si>
  <si>
    <t>4160100000</t>
  </si>
  <si>
    <t>4160100090</t>
  </si>
  <si>
    <t>4160100100</t>
  </si>
  <si>
    <t>4170000000</t>
  </si>
  <si>
    <t>4170200000</t>
  </si>
  <si>
    <t>4170210290</t>
  </si>
  <si>
    <t>4170300000</t>
  </si>
  <si>
    <t>4200000000</t>
  </si>
  <si>
    <t>4210000000</t>
  </si>
  <si>
    <t>4210100000</t>
  </si>
  <si>
    <t>4210100180</t>
  </si>
  <si>
    <t>4210100280</t>
  </si>
  <si>
    <t>4210200000</t>
  </si>
  <si>
    <t>4210200130</t>
  </si>
  <si>
    <t>4210300000</t>
  </si>
  <si>
    <t>4210310080</t>
  </si>
  <si>
    <t>4220000000</t>
  </si>
  <si>
    <t>4220100000</t>
  </si>
  <si>
    <t>4220100110</t>
  </si>
  <si>
    <t>4230000000</t>
  </si>
  <si>
    <t>4230100000</t>
  </si>
  <si>
    <t>4230100140</t>
  </si>
  <si>
    <t>4300000000</t>
  </si>
  <si>
    <t>4310000000</t>
  </si>
  <si>
    <t>4310100000</t>
  </si>
  <si>
    <t>4320000000</t>
  </si>
  <si>
    <t>4320100000</t>
  </si>
  <si>
    <t>4400000000</t>
  </si>
  <si>
    <t>4410000000</t>
  </si>
  <si>
    <t>4410100000</t>
  </si>
  <si>
    <t>4420000000</t>
  </si>
  <si>
    <t>4420100000</t>
  </si>
  <si>
    <t>4430000000</t>
  </si>
  <si>
    <t>4430100000</t>
  </si>
  <si>
    <t>4430110130</t>
  </si>
  <si>
    <t>4500000000</t>
  </si>
  <si>
    <t>4510000000</t>
  </si>
  <si>
    <t>4510100000</t>
  </si>
  <si>
    <t>4510110160</t>
  </si>
  <si>
    <t>4510110330</t>
  </si>
  <si>
    <t>4510110340</t>
  </si>
  <si>
    <t>4510110550</t>
  </si>
  <si>
    <t>4510120070</t>
  </si>
  <si>
    <t>4510120100</t>
  </si>
  <si>
    <t>4510120110</t>
  </si>
  <si>
    <t>4510120120</t>
  </si>
  <si>
    <t>4600000000</t>
  </si>
  <si>
    <t>4610000000</t>
  </si>
  <si>
    <t>4610100000</t>
  </si>
  <si>
    <t>4610100160</t>
  </si>
  <si>
    <t>4620000000</t>
  </si>
  <si>
    <t>4620100000</t>
  </si>
  <si>
    <t>4700000000</t>
  </si>
  <si>
    <t>4800000000</t>
  </si>
  <si>
    <t>4810000000</t>
  </si>
  <si>
    <t>4810100000</t>
  </si>
  <si>
    <t>4810100190</t>
  </si>
  <si>
    <t>4820000000</t>
  </si>
  <si>
    <t>4820100000</t>
  </si>
  <si>
    <t>4900000000</t>
  </si>
  <si>
    <t>5000000000</t>
  </si>
  <si>
    <t>5010000000</t>
  </si>
  <si>
    <t>5010100000</t>
  </si>
  <si>
    <t>5020000000</t>
  </si>
  <si>
    <t>5020100000</t>
  </si>
  <si>
    <t>5020110220</t>
  </si>
  <si>
    <t>5020110230</t>
  </si>
  <si>
    <t>5020110240</t>
  </si>
  <si>
    <t>5100000000</t>
  </si>
  <si>
    <t>5110000000</t>
  </si>
  <si>
    <t>5110100000</t>
  </si>
  <si>
    <t>5200000000</t>
  </si>
  <si>
    <t>5300000000</t>
  </si>
  <si>
    <t>5310000000</t>
  </si>
  <si>
    <t>5310100000</t>
  </si>
  <si>
    <t>5320000000</t>
  </si>
  <si>
    <t>5320100000</t>
  </si>
  <si>
    <t>5320110270</t>
  </si>
  <si>
    <t>5400000000</t>
  </si>
  <si>
    <t>5410000000</t>
  </si>
  <si>
    <t>5410100000</t>
  </si>
  <si>
    <t>5410100350</t>
  </si>
  <si>
    <t>5410100360</t>
  </si>
  <si>
    <t>5410200000</t>
  </si>
  <si>
    <t>5410280350</t>
  </si>
  <si>
    <t>5410280360</t>
  </si>
  <si>
    <t>5420000000</t>
  </si>
  <si>
    <t>5420100000</t>
  </si>
  <si>
    <t>7000000000</t>
  </si>
  <si>
    <t>7010000000</t>
  </si>
  <si>
    <t>7010000430</t>
  </si>
  <si>
    <t>7010000440</t>
  </si>
  <si>
    <t>7010000450</t>
  </si>
  <si>
    <t>7090000000</t>
  </si>
  <si>
    <t>7090060030</t>
  </si>
  <si>
    <t>7100000000</t>
  </si>
  <si>
    <t>7110000000</t>
  </si>
  <si>
    <t>7110000460</t>
  </si>
  <si>
    <t>7110000470</t>
  </si>
  <si>
    <t>7200000000</t>
  </si>
  <si>
    <t>7210000000</t>
  </si>
  <si>
    <t>7210010290</t>
  </si>
  <si>
    <t>7400000000</t>
  </si>
  <si>
    <t>7490000000</t>
  </si>
  <si>
    <t>Изменение остатков средств на счетах по учету средств бюджета</t>
  </si>
  <si>
    <t>4130000000</t>
  </si>
  <si>
    <t>Непрограммные направления деятельности бюджета городского округа Кинешма городской Думы городского округа Кинешма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</si>
  <si>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</si>
  <si>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</si>
  <si>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Непрограммные направления деятельности бюджета городского округа Кинешма на исполнение судебных актов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</si>
  <si>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</si>
  <si>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</si>
  <si>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</si>
  <si>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</si>
  <si>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</si>
  <si>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</si>
  <si>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</si>
  <si>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</si>
  <si>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</si>
  <si>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</si>
  <si>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</si>
  <si>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</si>
  <si>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</si>
  <si>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</si>
  <si>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Муниципальная программа городского округа Кинешма "Развитие образования городского округа Кинешма"</t>
  </si>
  <si>
    <t>Муниципальная программа городского округа Кинешма "Культура городского округа Кинешма"</t>
  </si>
  <si>
    <t>Муниципальная программа городского округа Кинешма "Развитие физической культуры и спорта в городском округе Кинешма"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</si>
  <si>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</si>
  <si>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Муниципальная программа городского округа Кинешма "Развитие транспортной системы в городском округе Кинешма"</t>
  </si>
  <si>
    <t>Муниципальная программа городского округа Кинешма "Благоустройство городского округа Кинешма"</t>
  </si>
  <si>
    <t>Муниципальная программа городского округа Кинешма "Управление муниципальными финансами и муниципальным долгом"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</si>
  <si>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</si>
  <si>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4610100170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</si>
  <si>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</si>
  <si>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</si>
  <si>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</si>
  <si>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</si>
  <si>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</si>
  <si>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</si>
  <si>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8000000000</t>
  </si>
  <si>
    <t>8090000000</t>
  </si>
  <si>
    <t>Непрограммные направления деятельности бюджета городского округа Кинешма по прочим расходам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</si>
  <si>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</si>
  <si>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</si>
  <si>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</si>
  <si>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</si>
  <si>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</si>
  <si>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</si>
  <si>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</si>
  <si>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4530000000</t>
  </si>
  <si>
    <t>4530100000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</si>
  <si>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</si>
  <si>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</si>
  <si>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Сумма</t>
  </si>
  <si>
    <t>2019 год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</si>
  <si>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</si>
  <si>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</si>
  <si>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Сумма </t>
  </si>
  <si>
    <t>на 2019 год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</si>
  <si>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</si>
  <si>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</si>
  <si>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4520000000</t>
  </si>
  <si>
    <t>4520100000</t>
  </si>
  <si>
    <t>4310110990</t>
  </si>
  <si>
    <t>Муниципальная программа городского округа Кинешма "Управление муниципальным имуществом в городском округе Кинешма"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</si>
  <si>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</si>
  <si>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"Комитет по культуре и туризму администрации городского округа Кинешма"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</si>
  <si>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</si>
  <si>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</si>
  <si>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</si>
  <si>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</si>
  <si>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</si>
  <si>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</si>
  <si>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</si>
  <si>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</si>
  <si>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</si>
  <si>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</si>
  <si>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</si>
  <si>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Подпрограмма "Дети города Кинешма"</t>
  </si>
  <si>
    <t xml:space="preserve">  КУЛЬТУРА, КИНЕМАТОГРАФИЯ</t>
  </si>
  <si>
    <t xml:space="preserve">    Культура</t>
  </si>
  <si>
    <t xml:space="preserve">        Подпрограмма "Культурно-досуговая деятельность"</t>
  </si>
  <si>
    <t xml:space="preserve">    Другие вопросы в области культуры, кинематографии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</si>
  <si>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</si>
  <si>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</si>
  <si>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</si>
  <si>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</si>
  <si>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</si>
  <si>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</si>
  <si>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Резервный фонд администрации городского округа Кинешма</t>
  </si>
  <si>
    <t xml:space="preserve">    Молодежная политика</t>
  </si>
  <si>
    <t xml:space="preserve">    Другие вопросы в области образования</t>
  </si>
  <si>
    <t xml:space="preserve">  СОЦИАЛЬНАЯ ПОЛИТИКА</t>
  </si>
  <si>
    <t xml:space="preserve">    Охрана семьи и детства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</si>
  <si>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</si>
  <si>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</si>
  <si>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Резервные фонды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</si>
  <si>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</si>
  <si>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</si>
  <si>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</si>
  <si>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</si>
  <si>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Сельское хозяйство и рыболовство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</si>
  <si>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</si>
  <si>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</si>
  <si>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</si>
  <si>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</si>
  <si>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</si>
  <si>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</si>
  <si>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Иные непрограммные направления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</si>
  <si>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</si>
  <si>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</si>
  <si>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</si>
  <si>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</si>
  <si>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  Социальное обеспечение населения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</si>
  <si>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</si>
  <si>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</si>
  <si>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</si>
  <si>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</si>
  <si>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</si>
  <si>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</si>
  <si>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</si>
  <si>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Подпрограмма "Развитие институтов гражданского общества"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</si>
  <si>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</si>
  <si>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Непрограммные направления деятельности бюджета городского округа Кинешма по прочим расходам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</si>
  <si>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</si>
  <si>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</si>
  <si>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</si>
  <si>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</si>
  <si>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Подпрограмма "Развитие инженерных инфраструктур"</t>
  </si>
  <si>
    <t xml:space="preserve">    Пенсионное обеспечение</t>
  </si>
  <si>
    <t xml:space="preserve">  СРЕДСТВА МАССОВОЙ ИНФОРМАЦИИ</t>
  </si>
  <si>
    <t xml:space="preserve">    Телевидение и радиовещание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</si>
  <si>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</si>
  <si>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</si>
  <si>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</si>
  <si>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</si>
  <si>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</si>
  <si>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</si>
  <si>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</si>
  <si>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</si>
  <si>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Другие вопросы в области социальной политики</t>
  </si>
  <si>
    <t>Итого</t>
  </si>
  <si>
    <t xml:space="preserve">  Подпрограмма "Дошкольное образование детей в муниципальных организациях городского округа Кинешма"</t>
  </si>
  <si>
    <t xml:space="preserve">    Основное мероприятие "Дошкольное образование. Присмотр и уход за детьми"</t>
  </si>
  <si>
    <t xml:space="preserve">      Дошкольное образование</t>
  </si>
  <si>
    <t xml:space="preserve">        Организация дошкольного образования и обеспечение функционирования муниципальных организаций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</si>
  <si>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</si>
  <si>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</si>
  <si>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Охрана семьи и детства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</si>
  <si>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</si>
  <si>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Закупка товаров, работ и услуг для обеспечения государственных (муниципальных) нужд</t>
  </si>
  <si>
    <t xml:space="preserve">          Социальное обеспечение и иные выплаты населению</t>
  </si>
  <si>
    <t xml:space="preserve">  Подпрограмма "Общее образование в муниципальных организациях городского округа Кинешма"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</si>
  <si>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</si>
  <si>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 xml:space="preserve">      Общее образование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</si>
  <si>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</si>
  <si>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</si>
  <si>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 xml:space="preserve">          Иные бюджетные ассигнования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</si>
  <si>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</si>
  <si>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</si>
  <si>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 xml:space="preserve">  Подпрограмма "Дополнительное образование в муниципальных организациях городского округа Кинешма"</t>
  </si>
  <si>
    <t xml:space="preserve">      Дополнительное образование детей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</si>
  <si>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</si>
  <si>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</si>
  <si>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</si>
  <si>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Мероприятия в рамках подготовки и участия в Спартакиаде школьников</t>
  </si>
  <si>
    <t xml:space="preserve">    Основное мероприятие "Информационно-методическое и бухгалтерское сопровождение"</t>
  </si>
  <si>
    <t xml:space="preserve">      Другие вопросы в области образования</t>
  </si>
  <si>
    <t xml:space="preserve">        Обеспечение деятельности централизованных бухгалтерий по осуществлению бухгалтерского обслуживания</t>
  </si>
  <si>
    <t xml:space="preserve">        Обеспечение деятельности муниципального учреждения "Информационно-методический центр"</t>
  </si>
  <si>
    <t xml:space="preserve">  Подпрограмма "Наследие"</t>
  </si>
  <si>
    <t xml:space="preserve">    Основное мероприятие "Библиотечное обслуживание населения"</t>
  </si>
  <si>
    <t xml:space="preserve">      Культура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</si>
  <si>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</si>
  <si>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</si>
  <si>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 xml:space="preserve">    Основное мероприятие "Формирование и содержание муниципального архива"</t>
  </si>
  <si>
    <t xml:space="preserve">      Другие общегосударственные вопросы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</si>
  <si>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</si>
  <si>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</si>
  <si>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</si>
  <si>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Подпрограмма "Культурно-досуговая деятельность"</t>
  </si>
  <si>
    <t xml:space="preserve">    Основное мероприятие "Организация культурного досуга и отдыха населения городского округа Кинешма"</t>
  </si>
  <si>
    <t xml:space="preserve">      Молодежная политика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</si>
  <si>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</si>
  <si>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Подпрограмма "Развитие туризма в городском округе Кинешма"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</si>
  <si>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</si>
  <si>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Другие вопросы в области национальной экономики</t>
  </si>
  <si>
    <t xml:space="preserve">        Содействие развитию внутреннего и въездного туризма в городском округе Кинешма</t>
  </si>
  <si>
    <t xml:space="preserve">      Массовый спорт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</si>
  <si>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</si>
  <si>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</si>
  <si>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</si>
  <si>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 xml:space="preserve">    Основное мероприятие "Предоставление мер поддержки молодым семьям"</t>
  </si>
  <si>
    <t xml:space="preserve">      Социальное обеспечение населения</t>
  </si>
  <si>
    <t xml:space="preserve">      Жилищное хозяйство</t>
  </si>
  <si>
    <t xml:space="preserve">      Другие вопросы в области социальной политики</t>
  </si>
  <si>
    <t xml:space="preserve">        Предоставление молодому специалисту единовременной денежной выплаты</t>
  </si>
  <si>
    <t xml:space="preserve">        Оплата найма жилых помещений, снимаемых молодыми специалистами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</si>
  <si>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</si>
  <si>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временного трудоустройства несовершеннолетних граждан в возрасте от 14 до 18 лет</t>
  </si>
  <si>
    <t xml:space="preserve">        Организация общественных работ на территории городского округа Кинешма</t>
  </si>
  <si>
    <t xml:space="preserve">  Подпрограмма "Дети города Кинешма"</t>
  </si>
  <si>
    <t xml:space="preserve">        Поддержка способных и талантливых детей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</si>
  <si>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</si>
  <si>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Капитальные вложения в объекты государственной (муниципальной) собственности</t>
  </si>
  <si>
    <t xml:space="preserve">    Основное мероприятие "Предоставление мер поддержки отдельным категориям жителей"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</si>
  <si>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</si>
  <si>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</si>
  <si>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Оказание материальной помощи гражданам, оказавшимся в трудной жизненной ситуации</t>
  </si>
  <si>
    <t xml:space="preserve">        Материальное обеспечение граждан, удостоенных звания "Почетный гражданин города Кинешма"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</si>
  <si>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</si>
  <si>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</si>
  <si>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Основное мероприятие "Отдых и оздоровление детей"</t>
  </si>
  <si>
    <t xml:space="preserve">        Обеспечение оздоровления детей (транспортные расходы)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</si>
  <si>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</si>
  <si>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Подпрограмма "Жилище"</t>
  </si>
  <si>
    <t xml:space="preserve">        Услуги по технической инвентаризации зданий муниципального жилищного фонда городского округа Кинешма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</si>
  <si>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</si>
  <si>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</si>
  <si>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 xml:space="preserve">        Муниципальная поддержка капитального ремонта общего имущества в многоквартирных домах</t>
  </si>
  <si>
    <t xml:space="preserve">        Капитальный ремонт муниципального жилищного фонда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</si>
  <si>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</si>
  <si>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</si>
  <si>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Субсидии организациям, осуществляющим управление муниципальными общежитиями</t>
  </si>
  <si>
    <t xml:space="preserve">  Подпрограмма "Государственная и муниципальная поддержка граждан в сфере ипотечного жилищного кредитования"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</si>
  <si>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</si>
  <si>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 xml:space="preserve">  Подпрограмма "Развитие инженерных инфраструктур"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</si>
  <si>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</si>
  <si>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Дорожное хозяйство (дорожные фонды)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</si>
  <si>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</si>
  <si>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Обеспечение безопасности дорожного движения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</si>
  <si>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</si>
  <si>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</si>
  <si>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</si>
  <si>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</si>
  <si>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</si>
  <si>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</si>
  <si>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Телевидение и радиовещание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</si>
  <si>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</si>
  <si>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</si>
  <si>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Подпрограмма "Обеспечение приватизации и содержание имущества муниципальной казны"</t>
  </si>
  <si>
    <t xml:space="preserve">    Основное мероприятие "Управление и распоряжение муниципальным имуществом городского округа Кинешма"</t>
  </si>
  <si>
    <t xml:space="preserve">        Обеспечение приватизации и проведение предпродажной подготовки объектов недвижимости</t>
  </si>
  <si>
    <t xml:space="preserve">        Содержание объектов недвижимости, входящих в состав имущества муниципальной казны</t>
  </si>
  <si>
    <t xml:space="preserve">      Благоустройство</t>
  </si>
  <si>
    <t xml:space="preserve">        Организация уличного освещения в границах городского округа Кинешма</t>
  </si>
  <si>
    <t xml:space="preserve">        Организация и содержание мест захоронений</t>
  </si>
  <si>
    <t xml:space="preserve">  Подпрограмма "Благоустройство территории городского округа Кинешма"</t>
  </si>
  <si>
    <t xml:space="preserve">    Основное мероприятие "Благоустройство территорий общего пользования"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</si>
  <si>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</si>
  <si>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Содержание и ремонт детских игровых площадок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</si>
  <si>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</si>
  <si>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</si>
  <si>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</si>
  <si>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Основное мероприятие "Текущее содержание гидротехнических сооружений"</t>
  </si>
  <si>
    <t xml:space="preserve">        Текущее содержание инженерной защиты (дамбы, дренажные системы, водоперекачивающие станции)</t>
  </si>
  <si>
    <t xml:space="preserve">        Приобретение автотранспортных средств и коммунальной техники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</si>
  <si>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</si>
  <si>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внутреннего и муниципального долга</t>
  </si>
  <si>
    <t xml:space="preserve">          Обслуживание государственного (муниципального) долга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</si>
  <si>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</si>
  <si>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</si>
  <si>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</si>
  <si>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вопросы в области культуры, кинематографии</t>
  </si>
  <si>
    <t xml:space="preserve">      Другие вопросы в области физической культуры и спорта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</si>
  <si>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</si>
  <si>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Осуществление отдельных государственных полномочий в сфере административных правонарушений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</si>
  <si>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</si>
  <si>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 xml:space="preserve">  Подпрограмма "Развитие институтов гражданского общества"</t>
  </si>
  <si>
    <t xml:space="preserve">        Субсидирование социально ориентированных некоммерческих организаций</t>
  </si>
  <si>
    <t xml:space="preserve">        Оказание финансовой поддержки территориальным общественным самоуправлениям</t>
  </si>
  <si>
    <t xml:space="preserve">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</si>
  <si>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</si>
  <si>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городского округа Кинешма</t>
  </si>
  <si>
    <t xml:space="preserve">        Обеспечение функционирования аппарата городской Думы городского округа Кинешма</t>
  </si>
  <si>
    <t xml:space="preserve">        Обеспечение функционирования депутатов городской Думы городского округа Кинешма</t>
  </si>
  <si>
    <t xml:space="preserve">  Иные непрограммные направления</t>
  </si>
  <si>
    <t xml:space="preserve">        Выполнение других обязательств городского округа Кинешма</t>
  </si>
  <si>
    <t xml:space="preserve">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</si>
  <si>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</si>
  <si>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 xml:space="preserve">        Обеспечение функционирования членов и аппарата Контрольно-счетной комиссии городского округа Кинешма</t>
  </si>
  <si>
    <t xml:space="preserve">  Резервный фонд администрации городского округа Кинешма</t>
  </si>
  <si>
    <t xml:space="preserve">      Резервные фонды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</si>
  <si>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</si>
  <si>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</si>
  <si>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</si>
  <si>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</si>
  <si>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46201S0510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</si>
  <si>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</si>
  <si>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</si>
  <si>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</si>
  <si>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</si>
  <si>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</si>
  <si>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</si>
  <si>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</si>
  <si>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</si>
  <si>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</si>
  <si>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</si>
  <si>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</si>
  <si>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</si>
  <si>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</si>
  <si>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</si>
  <si>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</si>
  <si>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</si>
  <si>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</si>
  <si>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</si>
  <si>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</si>
  <si>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</si>
  <si>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</si>
  <si>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</si>
  <si>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</si>
  <si>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</si>
  <si>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</si>
  <si>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</si>
  <si>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</si>
  <si>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</si>
  <si>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</si>
  <si>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</si>
  <si>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</si>
  <si>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</si>
  <si>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</si>
  <si>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</si>
  <si>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Генеральная прокуратура Российской Федерации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</si>
  <si>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</si>
  <si>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</si>
  <si>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</si>
  <si>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</si>
  <si>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</si>
  <si>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</si>
  <si>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</si>
  <si>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</si>
  <si>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</si>
  <si>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</si>
  <si>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</si>
  <si>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
ущерба имуществу, зачисляемые в бюджеты городских округов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</si>
  <si>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</si>
  <si>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</si>
  <si>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1 16 35000 00 0000 140</t>
  </si>
  <si>
    <t>Суммы по искам о возмещении вреда, причиненного окружающей среде</t>
  </si>
  <si>
    <t>1 16 35020 04 6000 140</t>
  </si>
  <si>
    <t xml:space="preserve"> Суммы по искам о возмещении вреда, причиненного окружающей
 среде, подлежащие зачислению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</si>
  <si>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</si>
  <si>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Суммы по искам о возмещении вреда, причиненного окружающей среде, подлежащие зачислению в бюджеты городских округов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</si>
  <si>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</si>
  <si>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</si>
  <si>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</si>
  <si>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</si>
  <si>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</si>
  <si>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</si>
  <si>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</si>
  <si>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</si>
  <si>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(тыс.рублей)</t>
  </si>
  <si>
    <t>Целевая статья</t>
  </si>
  <si>
    <t>Вид расходов</t>
  </si>
  <si>
    <t>Наименование показателя</t>
  </si>
  <si>
    <t>Комитет по культуре и туризму администрации городского округа Кинешма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</si>
  <si>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</si>
  <si>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</si>
  <si>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</si>
  <si>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Денежные взыскания (штрафы) за нарушение бюджетного законодательства Российской Федерации</t>
  </si>
  <si>
    <t>2 02 25000 00 0000 151</t>
  </si>
  <si>
    <t xml:space="preserve">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</si>
  <si>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Основное мероприятие "Формирование и содержание муниципального архива"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</si>
  <si>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</si>
  <si>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</si>
  <si>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</si>
  <si>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</si>
  <si>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</si>
  <si>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</si>
  <si>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</si>
  <si>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    Поддержка способных и талантливых детей</t>
  </si>
  <si>
    <t xml:space="preserve">          Основное мероприятие "Отдых и оздоровление детей"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</si>
  <si>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</si>
  <si>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</si>
  <si>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</si>
  <si>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</si>
  <si>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</si>
  <si>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</si>
  <si>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</si>
  <si>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  Социальное обеспечение и иные выплаты населению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</si>
  <si>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</si>
  <si>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</si>
  <si>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</si>
  <si>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</si>
  <si>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</si>
  <si>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</si>
  <si>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</si>
  <si>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</si>
  <si>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</si>
  <si>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</si>
  <si>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</si>
  <si>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Резервный фонд администрации городского округа Кинешма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</si>
  <si>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</si>
  <si>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Мероприятия в рамках подготовки и участия в Спартакиаде школьников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</si>
  <si>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</si>
  <si>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</si>
  <si>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</si>
  <si>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</si>
  <si>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</si>
  <si>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</si>
  <si>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Обслуживание государственного (муниципального) долга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</si>
  <si>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</si>
  <si>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</si>
  <si>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</si>
  <si>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</si>
  <si>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</si>
  <si>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</si>
  <si>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Обеспечение безопасности дорожного движения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</si>
  <si>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</si>
  <si>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</si>
  <si>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</si>
  <si>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</si>
  <si>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Капитальный ремонт муниципального жилищного фонда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</si>
  <si>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</si>
  <si>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</si>
  <si>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    Субсидии организациям, осуществляющим управление муниципальными общежитиями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</si>
  <si>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</si>
  <si>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</si>
  <si>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        Организация уличного освещения в границах городского округа Кинешма</t>
  </si>
  <si>
    <t xml:space="preserve">            Организация и содержание мест захоронений</t>
  </si>
  <si>
    <t xml:space="preserve">          Основное мероприятие "Благоустройство территорий общего пользования"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</si>
  <si>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</si>
  <si>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</si>
  <si>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</si>
  <si>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Приобретение автотранспортных средств и коммунальной техники</t>
  </si>
  <si>
    <t xml:space="preserve">          Основное мероприятие "Предоставление мер поддержки молодым семьям"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</si>
  <si>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</si>
  <si>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</si>
  <si>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Капитальные вложения в объекты государственной (муниципальной) собственности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</si>
  <si>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</si>
  <si>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</si>
  <si>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</si>
  <si>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</si>
  <si>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    Обеспечение деятельности главы городского округа Кинешма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</si>
  <si>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</si>
  <si>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</si>
  <si>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</si>
  <si>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        Оказание финансовой поддержки территориальным общественным самоуправлениям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</si>
  <si>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</si>
  <si>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Основное мероприятие "Предоставление мер поддержки отдельным категориям жителей"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</si>
  <si>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</si>
  <si>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</si>
  <si>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</si>
  <si>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</si>
  <si>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</si>
  <si>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</si>
  <si>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</si>
  <si>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</si>
  <si>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</si>
  <si>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</si>
  <si>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</si>
  <si>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</si>
  <si>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Обеспечение оздоровления детей (транспортные расходы)</t>
  </si>
  <si>
    <t xml:space="preserve">            Оказание материальной помощи гражданам, оказавшимся в трудной жизненной ситуации</t>
  </si>
  <si>
    <t xml:space="preserve">            Субсидирование социально ориентированных некоммерческих организаций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</si>
  <si>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</si>
  <si>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</si>
  <si>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</si>
  <si>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</si>
  <si>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</si>
  <si>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</si>
  <si>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</si>
  <si>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</si>
  <si>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</si>
  <si>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</si>
  <si>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</si>
  <si>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</si>
  <si>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</si>
  <si>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</si>
  <si>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</si>
  <si>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</si>
  <si>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</si>
  <si>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</si>
  <si>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</si>
  <si>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</si>
  <si>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</si>
  <si>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  Монтаж и демонтаж праздничной иллюминации</t>
  </si>
  <si>
    <t xml:space="preserve">        Содержание источников нецентрализованного водоснабжения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</si>
  <si>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</si>
  <si>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</si>
  <si>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</si>
  <si>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</si>
  <si>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>7590051200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</si>
  <si>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</si>
  <si>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</si>
  <si>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</si>
  <si>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</si>
  <si>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</si>
  <si>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</si>
  <si>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Раздел</t>
  </si>
  <si>
    <t>Подраздел</t>
  </si>
  <si>
    <t xml:space="preserve">        Содержание имущества учреждения в рамках муниципального задания</t>
  </si>
  <si>
    <t>4110100020</t>
  </si>
  <si>
    <t xml:space="preserve">        Присмотр и уход за детьми, в части питания детей образовательного учреждения</t>
  </si>
  <si>
    <t>4110100050</t>
  </si>
  <si>
    <t>4130100020</t>
  </si>
  <si>
    <t>4140100020</t>
  </si>
  <si>
    <t>4210100020</t>
  </si>
  <si>
    <t>4210200020</t>
  </si>
  <si>
    <t>4220100020</t>
  </si>
  <si>
    <t xml:space="preserve">  Подпрограмма "Развитие физической культуры и массового спорта"</t>
  </si>
  <si>
    <t>4610100020</t>
  </si>
  <si>
    <t xml:space="preserve">        Предоставление субсидии на оказание социально-значимых бытовых услуг</t>
  </si>
  <si>
    <t>5110100020</t>
  </si>
  <si>
    <t xml:space="preserve">            Содержание имущества учреждения в рамках муниципального задания</t>
  </si>
  <si>
    <t xml:space="preserve">            Присмотр и уход за детьми, в части питания детей образовательного учреждения</t>
  </si>
  <si>
    <t xml:space="preserve">        Подпрограмма "Развитие физической культуры и массового спорта"</t>
  </si>
  <si>
    <t xml:space="preserve">            Предоставление субсидии на оказание социально-значимых бытовых услуг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</si>
  <si>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</si>
  <si>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4320110960</t>
  </si>
  <si>
    <t xml:space="preserve">        Предоставление социальных выплат молодым семьям на приобретение (строительство) жилого помещения</t>
  </si>
  <si>
    <t>45201S3100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</si>
  <si>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</si>
  <si>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</si>
  <si>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</si>
  <si>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          Предоставление социальных выплат молодым семьям на приобретение (строительство) жилого помещения</t>
  </si>
  <si>
    <t xml:space="preserve"> 2 02 25497 04 0000 151</t>
  </si>
  <si>
    <t>Субсидии бюджетам городских округов на реализацию мероприятий по обеспечению жильем молодых семей</t>
  </si>
  <si>
    <t>2 02 40000 00 0000 151</t>
  </si>
  <si>
    <t>Иные межбюджетные трансферты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</si>
  <si>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</si>
  <si>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</si>
  <si>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</si>
  <si>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</si>
  <si>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</si>
  <si>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</si>
  <si>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</si>
  <si>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</si>
  <si>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</si>
  <si>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</si>
  <si>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</si>
  <si>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</si>
  <si>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</si>
  <si>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       Организация целевой подготовки педагогов для работы в муниципальных образовательных организациях</t>
  </si>
  <si>
    <t xml:space="preserve">      Водное хозяйство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</si>
  <si>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</si>
  <si>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  Водное хозяйство</t>
  </si>
  <si>
    <t>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</si>
  <si>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</si>
  <si>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 xml:space="preserve"> 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</si>
  <si>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</si>
  <si>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</si>
  <si>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</si>
  <si>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</si>
  <si>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</si>
  <si>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1 16 23000 00 0000 140</t>
  </si>
  <si>
    <t>Доходы от возмещения ущерба при возникновении страховых случаев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</si>
  <si>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</si>
  <si>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</si>
  <si>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</si>
  <si>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Обеспечение деятельности муниципальных учреждений строительства городского округа Кинешма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</si>
  <si>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</si>
  <si>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    Обеспечение деятельности муниципальных учреждений строительства городского округа Кинешма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</si>
  <si>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</si>
  <si>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</si>
  <si>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</si>
  <si>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</si>
  <si>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</si>
  <si>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Бюджетные ассигнования 2019 год</t>
  </si>
  <si>
    <t>Бюджетные ассигнования 2020 год</t>
  </si>
  <si>
    <t>2 02 49000 04 0000 151</t>
  </si>
  <si>
    <t>Межбюджетные трансферты, передаваемые бюджетам городских округов, за счет средств резервного фонда Президента Российской Федерации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</si>
  <si>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</si>
  <si>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</si>
  <si>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на 2021 год</t>
  </si>
  <si>
    <t xml:space="preserve">Приложение 3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</si>
  <si>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2019 год и плановый период 2020 и 2021 годов</t>
  </si>
  <si>
    <t xml:space="preserve">Приложение 6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</si>
  <si>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Показатели  доходов бюджета городского округа Кинешма 
по кодам бюджетной классификации доходов на 2019 год
 и плановый период 2020 и 2021 годов</t>
  </si>
  <si>
    <t xml:space="preserve">Приложение 1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</si>
  <si>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2019 год
 и плановый период 2020 и 2021 годов</t>
  </si>
  <si>
    <t>2021 год</t>
  </si>
  <si>
    <t xml:space="preserve">Приложение 2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</si>
  <si>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Источники финансирования дефицита   бюджета городского округа Кинешма на 2019 год
 и плановый период 2020 и 2021 годов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</si>
  <si>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</si>
  <si>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</si>
  <si>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</si>
  <si>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</si>
  <si>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</si>
  <si>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</si>
  <si>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</si>
  <si>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</si>
  <si>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</si>
  <si>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</si>
  <si>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</si>
  <si>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</si>
  <si>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</si>
  <si>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</si>
  <si>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</si>
  <si>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</si>
  <si>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Итого источников 
финансирования дефицита бюджета</t>
  </si>
  <si>
    <t>Итого источников финансирования дефицита бюджета</t>
  </si>
  <si>
    <t>Вид долгового обязательства</t>
  </si>
  <si>
    <t>Внутренние заимствования (привлечение/погашение)</t>
  </si>
  <si>
    <t>Кредиты кредитных  организаций</t>
  </si>
  <si>
    <t xml:space="preserve">Привлечение </t>
  </si>
  <si>
    <t>Погашение</t>
  </si>
  <si>
    <t>1.2.</t>
  </si>
  <si>
    <t xml:space="preserve"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
</t>
  </si>
  <si>
    <t>1.3.</t>
  </si>
  <si>
    <t xml:space="preserve">Бюджетные кредиты от других бюджетов бюджетной системы Российской Федерации: бюджетные кредиты в целях покрытия временных кассовых разрывов, возникающих при исполнении бюджета городского округа Кинешма
</t>
  </si>
  <si>
    <t>Бюджетные кредиты от других бюджетов 
бюджетной системы Российской Федерации: бюджетные кредиты на пополнение остатков средств на счете бюджета городского округа Кинешма</t>
  </si>
  <si>
    <t>Программа муниципальных  заимствований  городского округа Кинешмана 2019 год
 и плановый период 2020 и 2021 годов</t>
  </si>
  <si>
    <t>1 11 09044 04 0000 120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</si>
  <si>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</si>
  <si>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4140100070</t>
  </si>
  <si>
    <t>4140100080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</si>
  <si>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</si>
  <si>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</si>
  <si>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</si>
  <si>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>41402S1430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</si>
  <si>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</si>
  <si>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</si>
  <si>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</si>
  <si>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</si>
  <si>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</si>
  <si>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</si>
  <si>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</si>
  <si>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4160200370</t>
  </si>
  <si>
    <t xml:space="preserve">  Подпрограмма "Поддержка развития образовательных организаций городского округа Кинешма"</t>
  </si>
  <si>
    <t xml:space="preserve">    Основное мероприятие "Содействие развитию образовательных организаций"</t>
  </si>
  <si>
    <t xml:space="preserve">        Обеспечение пожарной безопасности муниципальных образовательных организаций</t>
  </si>
  <si>
    <t xml:space="preserve">    Основное мероприятие "Развитие интеллектуального, творческого и физического потенциала обучающихся"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</si>
  <si>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</si>
  <si>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</si>
  <si>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>4170310380</t>
  </si>
  <si>
    <t>4170340050</t>
  </si>
  <si>
    <t>4170480110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</si>
  <si>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</si>
  <si>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</si>
  <si>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42201S0340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</si>
  <si>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</si>
  <si>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</si>
  <si>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</si>
  <si>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>4240100360</t>
  </si>
  <si>
    <t>4240100370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</si>
  <si>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</si>
  <si>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</si>
  <si>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</si>
  <si>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</si>
  <si>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>4310310120</t>
  </si>
  <si>
    <t xml:space="preserve">  Подпрограмма "Развитие системы подготовки спортивного резерва"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</si>
  <si>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</si>
  <si>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4320100020</t>
  </si>
  <si>
    <t xml:space="preserve">        Спортивная подготовка по олимпийским и неолимпийским видам спорта</t>
  </si>
  <si>
    <t>4330000000</t>
  </si>
  <si>
    <t>4330100000</t>
  </si>
  <si>
    <t>4330100360</t>
  </si>
  <si>
    <t>4330100370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</si>
  <si>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</si>
  <si>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 xml:space="preserve">  Подпрограмма "Социальная поддержка отдельных категорий граждан городского округа Кинешма"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</si>
  <si>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</si>
  <si>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44101S3110</t>
  </si>
  <si>
    <t>4410140020</t>
  </si>
  <si>
    <t>4410140030</t>
  </si>
  <si>
    <t>4410200000</t>
  </si>
  <si>
    <t>4410240110</t>
  </si>
  <si>
    <t xml:space="preserve">    Основное мероприятие "Предоставление мер социальной поддержки детям и семьям, имеющим детей"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</si>
  <si>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</si>
  <si>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</si>
  <si>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</si>
  <si>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</si>
  <si>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</si>
  <si>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</si>
  <si>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>4420240070</t>
  </si>
  <si>
    <t>4420280200</t>
  </si>
  <si>
    <t>44202S0190</t>
  </si>
  <si>
    <t xml:space="preserve">  Подпрограмма "Молодежная политика городского округа Кинешма"</t>
  </si>
  <si>
    <t xml:space="preserve">    Основное мероприятие "Организация работы с молодежью"</t>
  </si>
  <si>
    <t>45101R0820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</si>
  <si>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</si>
  <si>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Основное мероприятие "Развитие и организация инженерных инфраструктур"</t>
  </si>
  <si>
    <t>4530100020</t>
  </si>
  <si>
    <t>4530100240</t>
  </si>
  <si>
    <t>4530111260</t>
  </si>
  <si>
    <t xml:space="preserve">  Подпрограмма "Обеспечение жильем молодых семей"</t>
  </si>
  <si>
    <t>4540000000</t>
  </si>
  <si>
    <t>4540100000</t>
  </si>
  <si>
    <t>45401L4970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</si>
  <si>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</si>
  <si>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</si>
  <si>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</si>
  <si>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</si>
  <si>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</si>
  <si>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</si>
  <si>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</si>
  <si>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</si>
  <si>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</si>
  <si>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</si>
  <si>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</si>
  <si>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</si>
  <si>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>4900200000</t>
  </si>
  <si>
    <t xml:space="preserve">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</si>
  <si>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4900211440</t>
  </si>
  <si>
    <t>5010100360</t>
  </si>
  <si>
    <t>5010100370</t>
  </si>
  <si>
    <t>5110100260</t>
  </si>
  <si>
    <t>5110100270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</si>
  <si>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</si>
  <si>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</si>
  <si>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</si>
  <si>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</si>
  <si>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</si>
  <si>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</si>
  <si>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</si>
  <si>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</si>
  <si>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>5110200300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</si>
  <si>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</si>
  <si>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</si>
  <si>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</si>
  <si>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</si>
  <si>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</si>
  <si>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</si>
  <si>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>5120100000</t>
  </si>
  <si>
    <t>51201S0540</t>
  </si>
  <si>
    <t>Муниципальная программа городского округа Кинешма "Профилактика правонарушений в городском округе Кинешма на 2019-2021 годы"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</si>
  <si>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</si>
  <si>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</si>
  <si>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</si>
  <si>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</si>
  <si>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</si>
  <si>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</si>
  <si>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</si>
  <si>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</si>
  <si>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>5200300000</t>
  </si>
  <si>
    <t>5200310140</t>
  </si>
  <si>
    <t>5200400000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</si>
  <si>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</si>
  <si>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</si>
  <si>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</si>
  <si>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</si>
  <si>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</si>
  <si>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</si>
  <si>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5310100360</t>
  </si>
  <si>
    <t>5310100370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</si>
  <si>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</si>
  <si>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</si>
  <si>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</si>
  <si>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Подпрограмма "Повышение качества управления муниципальными финансами"</t>
  </si>
  <si>
    <t xml:space="preserve">    Основное мероприятие "Обеспечение сбалансированности и устойчивости бюджета городского округа Кинешма"</t>
  </si>
  <si>
    <t xml:space="preserve">        Управление муниципальным долгом городского округа Кинешма</t>
  </si>
  <si>
    <t xml:space="preserve">  Подпрограмма "Обеспечение деятельности органов местного самоуправления городского округа Кинешма"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</si>
  <si>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</si>
  <si>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</si>
  <si>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</si>
  <si>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</si>
  <si>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</si>
  <si>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>5410400020</t>
  </si>
  <si>
    <t xml:space="preserve">        Обеспечение деятельности муниципального учреждения "Редакция-Радио Кинешма"</t>
  </si>
  <si>
    <t>5410400210</t>
  </si>
  <si>
    <t xml:space="preserve">    Основное мероприятие "Улучшение условий и охраны труда в администрации городского округа Кинешма"</t>
  </si>
  <si>
    <t>5410500000</t>
  </si>
  <si>
    <t>5410500370</t>
  </si>
  <si>
    <t>5420160070</t>
  </si>
  <si>
    <t>5420120010</t>
  </si>
  <si>
    <t>7010000370</t>
  </si>
  <si>
    <t>7110000370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</si>
  <si>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</si>
  <si>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</si>
  <si>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</si>
  <si>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>7690040120</t>
  </si>
  <si>
    <t>7690040130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</si>
  <si>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</si>
  <si>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</si>
  <si>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</si>
  <si>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</si>
  <si>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</si>
  <si>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</si>
  <si>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</si>
  <si>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</si>
  <si>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</si>
  <si>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Основное мероприятие "Содействие развитию образовательных организаций"</t>
  </si>
  <si>
    <t xml:space="preserve">            Обеспечение пожарной безопасности муниципальных образовательных организаций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</si>
  <si>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</si>
  <si>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</si>
  <si>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</si>
  <si>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</si>
  <si>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</si>
  <si>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</si>
  <si>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</si>
  <si>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</si>
  <si>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</si>
  <si>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</si>
  <si>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</si>
  <si>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</si>
  <si>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</si>
  <si>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</si>
  <si>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</si>
  <si>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</si>
  <si>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</si>
  <si>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"Развитие и организация инженерных инфраструктур"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</si>
  <si>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</si>
  <si>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</si>
  <si>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</si>
  <si>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</si>
  <si>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</si>
  <si>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</si>
  <si>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</si>
  <si>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</si>
  <si>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</si>
  <si>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      Основное мероприятие "Улучшение условий и охраны труда в администрации городского округа Кинешма"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</si>
  <si>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</si>
  <si>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</si>
  <si>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</si>
  <si>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</si>
  <si>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</si>
  <si>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</si>
  <si>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</si>
  <si>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</si>
  <si>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</si>
  <si>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</si>
  <si>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</si>
  <si>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</si>
  <si>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</si>
  <si>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</si>
  <si>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</si>
  <si>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</si>
  <si>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</si>
  <si>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деятельности муниципального учреждения "Редакция-Радио Кинешма"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</si>
  <si>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</si>
  <si>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</si>
  <si>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</si>
  <si>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</si>
  <si>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</si>
  <si>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 xml:space="preserve">Приложение 4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</si>
  <si>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2019 год и плановый период 2020 и 2021 годов</t>
  </si>
  <si>
    <t>Бюджетные ассигнования 2021 год</t>
  </si>
  <si>
    <t xml:space="preserve">Приложение 5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  
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</si>
  <si>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2019 год и плановый период 2020 и 2021 годов</t>
  </si>
  <si>
    <t xml:space="preserve">    Основное мероприятие "Модернизация и развитие инфраструктуры системы образования"</t>
  </si>
  <si>
    <t>4170100000</t>
  </si>
  <si>
    <t xml:space="preserve">        Строительство детского сада на 220 мест по ул. Гагарина в г. Кинешма Ивановской области</t>
  </si>
  <si>
    <t>4170111320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</si>
  <si>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</si>
  <si>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</si>
  <si>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Обеспечение проездными билетами учащихся МБОУ школы №11 городского округа Кинешма</t>
  </si>
  <si>
    <t>4170440080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</si>
  <si>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</si>
  <si>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</si>
  <si>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</si>
  <si>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>4610110010</t>
  </si>
  <si>
    <t>4620110010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</si>
  <si>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</si>
  <si>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</si>
  <si>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</si>
  <si>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</si>
  <si>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</si>
  <si>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</si>
  <si>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  Основное мероприятие "Формирование современной городской среды"</t>
  </si>
  <si>
    <t>5600100000</t>
  </si>
  <si>
    <t xml:space="preserve">        Обеспечение мероприятий по формированию современной городской среды</t>
  </si>
  <si>
    <t>56001L5550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</si>
  <si>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</si>
  <si>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</si>
  <si>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Укрепление материально-технической базы муниципальных учреждений городского округа Кинешма</t>
  </si>
  <si>
    <t>8090010030</t>
  </si>
  <si>
    <t xml:space="preserve">        Погашение кредиторской задолженности прошлых лет</t>
  </si>
  <si>
    <t>8090010950</t>
  </si>
  <si>
    <t xml:space="preserve">        Затраты на открытие групп в детском саду на 220 мест по ул. Гагарина в г. Кинешма</t>
  </si>
  <si>
    <t>8090011090</t>
  </si>
  <si>
    <t xml:space="preserve">            Мероприятия в рамках подготовки и участия во Всероссийской олимпиаде школьников</t>
  </si>
  <si>
    <t xml:space="preserve">            Обеспечение проездными билетами учащихся МБОУ школы №11 городского округа Кинешма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</si>
  <si>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</si>
  <si>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</si>
  <si>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</si>
  <si>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  Погашение кредиторской задолженности прошлых лет</t>
  </si>
  <si>
    <t xml:space="preserve">            Наказы избирателей депутатам городской Думы городского округа Кинешма</t>
  </si>
  <si>
    <t xml:space="preserve">    Коммунальное хозяйство</t>
  </si>
  <si>
    <t xml:space="preserve">            "Наказы избирателей депутатам городской Думы городского округа Кинешма"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</si>
  <si>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</si>
  <si>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  Основное мероприятие "Формирование современной городской среды"</t>
  </si>
  <si>
    <t xml:space="preserve">            Обеспечение мероприятий по формированию современной городской среды</t>
  </si>
  <si>
    <t xml:space="preserve">          Основное мероприятие "Модернизация и развитие инфраструктуры системы образования"</t>
  </si>
  <si>
    <t xml:space="preserve">            Строительство детского сада на 220 мест по ул. Гагарина в г. Кинешма Ивановской области</t>
  </si>
  <si>
    <t xml:space="preserve">            Затраты на открытие групп в детском саду на 220 мест по ул. Гагарина в г. Кинешма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</si>
  <si>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</si>
  <si>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</si>
  <si>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    Организация проведения массовых мероприятий</t>
  </si>
  <si>
    <t>4220100500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</si>
  <si>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</si>
  <si>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</si>
  <si>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</si>
  <si>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</si>
  <si>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4320100620</t>
  </si>
  <si>
    <t xml:space="preserve">        Организация молодежных мероприятий</t>
  </si>
  <si>
    <t>4430110260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</si>
  <si>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</si>
  <si>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</si>
  <si>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</si>
  <si>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Организация проведения массовых мероприятий</t>
  </si>
  <si>
    <t xml:space="preserve">            Организация и проведение спортивных мероприятий в рамках муниципального задания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</si>
  <si>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</si>
  <si>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</si>
  <si>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</si>
  <si>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</si>
  <si>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  Организация молодежных мероприятий</t>
  </si>
  <si>
    <t>Приложение 7
к проекту решения городской Думы 
городского округа Кинешма  
 "О бюджете городского округа Кинешма на 2019 год
 и плановый период 2020 и 2021 годов" 
от _________________ № __________</t>
  </si>
  <si>
    <t xml:space="preserve">        Комплектование книжных фондов библиотек городского округа Кинешма</t>
  </si>
  <si>
    <t>42101L5191</t>
  </si>
  <si>
    <t xml:space="preserve">        Выплата стипендии гражданам в соответствии с договором о целевом обучении</t>
  </si>
  <si>
    <t>4410140250</t>
  </si>
  <si>
    <t xml:space="preserve">        Субсидия на капитальный ремонт многоквартирных домов</t>
  </si>
  <si>
    <t>4510120220</t>
  </si>
  <si>
    <t xml:space="preserve">        Разработка схемы теплоснабжения городского округа Кинешма</t>
  </si>
  <si>
    <t>4530111450</t>
  </si>
  <si>
    <t>Муниципальная программа городского округа Кинешма "Охрана окружающей среды"</t>
  </si>
  <si>
    <t>5500000000</t>
  </si>
  <si>
    <t xml:space="preserve">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</si>
  <si>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>5500400000</t>
  </si>
  <si>
    <t xml:space="preserve">      Другие вопросы в области охраны окружающей среды</t>
  </si>
  <si>
    <t xml:space="preserve">        Проведение комплексных работ экологических обследований особо охраняемых природных территорий</t>
  </si>
  <si>
    <t>5500400610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</si>
  <si>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</si>
  <si>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</si>
  <si>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</si>
  <si>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8090000600</t>
  </si>
  <si>
    <t xml:space="preserve">            Комплектование книжных фондов библиотек городского округа Кинешма</t>
  </si>
  <si>
    <t xml:space="preserve">    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</si>
  <si>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</si>
  <si>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Субсидия на капитальный ремонт многоквартирных домов</t>
  </si>
  <si>
    <t xml:space="preserve">            Разработка схемы теплоснабжения городского округа Кинешма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</si>
  <si>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</si>
  <si>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</si>
  <si>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</si>
  <si>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</si>
  <si>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 xml:space="preserve">            Проведение комплексных работ экологических обследований особо охраняемых природных территорий</t>
  </si>
  <si>
    <t xml:space="preserve">            Выплата стипендии гражданам в соответствии с договором о целевом обучении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</si>
  <si>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</si>
  <si>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</si>
  <si>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3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</si>
  <si>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4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</si>
  <si>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5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</si>
  <si>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6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</si>
  <si>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7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  </t>
  </si>
  <si>
    <t>КВСР</t>
  </si>
  <si>
    <t>Рз</t>
  </si>
  <si>
    <t>ПР</t>
  </si>
  <si>
    <t>ЦСР</t>
  </si>
  <si>
    <t>Вр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</si>
</sst>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3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b/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72">
    <xf numFmtId="0" fontId="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1" fillId="3" borderId="0"/>
    <xf numFmtId="0" fontId="31" fillId="0" borderId="0">
      <alignment horizontal="left" vertical="top" wrapText="1"/>
    </xf>
    <xf numFmtId="0" fontId="31" fillId="0" borderId="0">
      <alignment horizontal="left" wrapText="1"/>
    </xf>
    <xf numFmtId="0" fontId="31" fillId="0" borderId="0"/>
    <xf numFmtId="0" fontId="32" fillId="0" borderId="0">
      <alignment horizontal="center" wrapText="1"/>
    </xf>
    <xf numFmtId="0" fontId="32" fillId="0" borderId="0">
      <alignment horizontal="center" wrapText="1"/>
    </xf>
    <xf numFmtId="0" fontId="32" fillId="0" borderId="0">
      <alignment horizontal="center"/>
    </xf>
    <xf numFmtId="0" fontId="32" fillId="0" borderId="0">
      <alignment horizontal="center"/>
    </xf>
    <xf numFmtId="0" fontId="31" fillId="0" borderId="0">
      <alignment horizontal="right"/>
    </xf>
    <xf numFmtId="0" fontId="31" fillId="0" borderId="0">
      <alignment wrapText="1"/>
    </xf>
    <xf numFmtId="0" fontId="31" fillId="3" borderId="17"/>
    <xf numFmtId="0" fontId="31" fillId="0" borderId="0">
      <alignment horizontal="right"/>
    </xf>
    <xf numFmtId="0" fontId="31" fillId="0" borderId="18">
      <alignment horizontal="center" vertical="center" wrapText="1"/>
    </xf>
    <xf numFmtId="0" fontId="31" fillId="3" borderId="17"/>
    <xf numFmtId="0" fontId="31" fillId="3" borderId="19"/>
    <xf numFmtId="0" fontId="31" fillId="0" borderId="18">
      <alignment horizontal="center" vertical="center" wrapText="1"/>
    </xf>
    <xf numFmtId="49" fontId="31" fillId="0" borderId="18">
      <alignment horizontal="center" vertical="top" shrinkToFit="1"/>
    </xf>
    <xf numFmtId="0" fontId="31" fillId="0" borderId="20"/>
    <xf numFmtId="0" fontId="31" fillId="0" borderId="18">
      <alignment horizontal="center" vertical="top" wrapText="1"/>
    </xf>
    <xf numFmtId="0" fontId="31" fillId="0" borderId="18">
      <alignment horizontal="center" vertical="center" shrinkToFit="1"/>
    </xf>
    <xf numFmtId="4" fontId="31" fillId="0" borderId="18">
      <alignment horizontal="right" vertical="top" shrinkToFit="1"/>
    </xf>
    <xf numFmtId="0" fontId="31" fillId="3" borderId="21"/>
    <xf numFmtId="10" fontId="31" fillId="0" borderId="18">
      <alignment horizontal="center" vertical="top" shrinkToFit="1"/>
    </xf>
    <xf numFmtId="0" fontId="33" fillId="0" borderId="18">
      <alignment horizontal="left"/>
    </xf>
    <xf numFmtId="0" fontId="31" fillId="3" borderId="21"/>
    <xf numFmtId="4" fontId="33" fillId="4" borderId="18">
      <alignment horizontal="right" vertical="top" shrinkToFit="1"/>
    </xf>
    <xf numFmtId="49" fontId="33" fillId="0" borderId="18">
      <alignment horizontal="left" vertical="top" shrinkToFit="1"/>
    </xf>
    <xf numFmtId="0" fontId="31" fillId="3" borderId="19"/>
    <xf numFmtId="4" fontId="33" fillId="4" borderId="18">
      <alignment horizontal="right" vertical="top" shrinkToFit="1"/>
    </xf>
    <xf numFmtId="0" fontId="31" fillId="0" borderId="21"/>
    <xf numFmtId="10" fontId="33" fillId="4" borderId="18">
      <alignment horizontal="center" vertical="top" shrinkToFit="1"/>
    </xf>
    <xf numFmtId="0" fontId="31" fillId="0" borderId="0">
      <alignment horizontal="left" wrapText="1"/>
    </xf>
    <xf numFmtId="0" fontId="31" fillId="0" borderId="0"/>
    <xf numFmtId="49" fontId="31" fillId="0" borderId="18">
      <alignment horizontal="left" vertical="top" wrapText="1"/>
    </xf>
    <xf numFmtId="0" fontId="31" fillId="3" borderId="17">
      <alignment horizontal="left"/>
    </xf>
    <xf numFmtId="4" fontId="31" fillId="5" borderId="18">
      <alignment horizontal="right" vertical="top" shrinkToFit="1"/>
    </xf>
    <xf numFmtId="0" fontId="31" fillId="0" borderId="18">
      <alignment horizontal="left" vertical="top" wrapText="1"/>
    </xf>
    <xf numFmtId="0" fontId="31" fillId="3" borderId="19">
      <alignment horizontal="center"/>
    </xf>
    <xf numFmtId="4" fontId="33" fillId="5" borderId="18">
      <alignment horizontal="right" vertical="top" shrinkToFit="1"/>
    </xf>
    <xf numFmtId="0" fontId="31" fillId="3" borderId="0">
      <alignment horizontal="center"/>
    </xf>
    <xf numFmtId="10" fontId="33" fillId="5" borderId="18">
      <alignment horizontal="center" vertical="top" shrinkToFit="1"/>
    </xf>
    <xf numFmtId="4" fontId="31" fillId="0" borderId="18">
      <alignment horizontal="right" vertical="top" shrinkToFit="1"/>
    </xf>
    <xf numFmtId="0" fontId="31" fillId="3" borderId="19">
      <alignment horizontal="left"/>
    </xf>
    <xf numFmtId="49" fontId="33" fillId="0" borderId="18">
      <alignment horizontal="left" vertical="top" wrapText="1"/>
    </xf>
    <xf numFmtId="0" fontId="31" fillId="3" borderId="21">
      <alignment horizontal="left"/>
    </xf>
    <xf numFmtId="0" fontId="31" fillId="3" borderId="0">
      <alignment horizontal="left"/>
    </xf>
    <xf numFmtId="4" fontId="31" fillId="0" borderId="20">
      <alignment horizontal="right" shrinkToFit="1"/>
    </xf>
    <xf numFmtId="4" fontId="31" fillId="0" borderId="0">
      <alignment horizontal="right" shrinkToFit="1"/>
    </xf>
    <xf numFmtId="0" fontId="31" fillId="3" borderId="21">
      <alignment horizontal="center"/>
    </xf>
    <xf numFmtId="164" fontId="34" fillId="0" borderId="0">
      <alignment vertical="top" wrapText="1"/>
    </xf>
    <xf numFmtId="0" fontId="30" fillId="0" borderId="0"/>
    <xf numFmtId="0" fontId="14" fillId="0" borderId="0"/>
    <xf numFmtId="0" fontId="35" fillId="0" borderId="0">
      <alignment vertical="top" wrapText="1"/>
    </xf>
    <xf numFmtId="0" fontId="6" fillId="0" borderId="0"/>
    <xf numFmtId="0" fontId="6" fillId="0" borderId="0"/>
    <xf numFmtId="0" fontId="29" fillId="0" borderId="0"/>
    <xf numFmtId="0" fontId="14" fillId="2" borderId="0"/>
    <xf numFmtId="0" fontId="34" fillId="0" borderId="0">
      <alignment vertical="top" wrapText="1"/>
    </xf>
    <xf numFmtId="0" fontId="34" fillId="0" borderId="0">
      <alignment vertical="top" wrapText="1"/>
    </xf>
    <xf numFmtId="0" fontId="23" fillId="0" borderId="0"/>
    <xf numFmtId="0" fontId="1" fillId="0" borderId="0"/>
    <xf numFmtId="0" fontId="7" fillId="0" borderId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31" fillId="0" borderId="18">
      <alignment horizontal="left" vertical="top" wrapText="1"/>
    </xf>
    <xf numFmtId="0" fontId="33" fillId="0" borderId="18">
      <alignment horizontal="left" vertical="top" wrapText="1"/>
    </xf>
  </cellStyleXfs>
  <cellXfs count="406">
    <xf numFmtId="0" fontId="0" fillId="0" borderId="0" xfId="0"/>
    <xf numFmtId="0" fontId="3" fillId="0" borderId="0" xfId="0" applyFont="1"/>
    <xf numFmtId="0" fontId="4" fillId="0" borderId="0" xfId="67" applyFont="1"/>
    <xf numFmtId="0" fontId="6" fillId="0" borderId="0" xfId="67" applyFont="1"/>
    <xf numFmtId="0" fontId="3" fillId="0" borderId="0" xfId="0" applyFont="1" applyBorder="1"/>
    <xf numFmtId="0" fontId="10" fillId="0" borderId="0" xfId="0" applyFont="1"/>
    <xf numFmtId="0" fontId="12" fillId="0" borderId="0" xfId="0" applyFont="1"/>
    <xf numFmtId="0" fontId="9" fillId="0" borderId="0" xfId="67" applyFont="1"/>
    <xf numFmtId="0" fontId="10" fillId="0" borderId="0" xfId="66" applyFont="1"/>
    <xf numFmtId="0" fontId="11" fillId="0" borderId="0" xfId="66" applyFont="1" applyFill="1" applyAlignment="1"/>
    <xf numFmtId="0" fontId="11" fillId="0" borderId="0" xfId="66" applyFont="1" applyFill="1"/>
    <xf numFmtId="49" fontId="11" fillId="0" borderId="0" xfId="66" applyNumberFormat="1" applyFont="1"/>
    <xf numFmtId="0" fontId="10" fillId="0" borderId="1" xfId="66" applyFont="1" applyBorder="1" applyAlignment="1">
      <alignment horizontal="center" vertical="center" wrapText="1"/>
    </xf>
    <xf numFmtId="49" fontId="10" fillId="0" borderId="2" xfId="66" applyNumberFormat="1" applyFont="1" applyBorder="1" applyAlignment="1">
      <alignment horizontal="center" vertic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vertical="center"/>
    </xf>
    <xf numFmtId="167" fontId="10" fillId="0" borderId="2" xfId="66" applyNumberFormat="1" applyFont="1" applyBorder="1" applyAlignment="1">
      <alignment vertical="center" wrapText="1"/>
    </xf>
    <xf numFmtId="49" fontId="10" fillId="0" borderId="4" xfId="66" applyNumberFormat="1" applyFont="1" applyBorder="1" applyAlignment="1">
      <alignment vertical="center"/>
    </xf>
    <xf numFmtId="167" fontId="10" fillId="0" borderId="2" xfId="66" applyNumberFormat="1" applyFont="1" applyBorder="1" applyAlignment="1">
      <alignment vertical="center"/>
    </xf>
    <xf numFmtId="3" fontId="10" fillId="0" borderId="0" xfId="66" applyNumberFormat="1" applyFont="1"/>
    <xf numFmtId="49" fontId="11" fillId="0" borderId="0" xfId="66" applyNumberFormat="1" applyFont="1" applyFill="1"/>
    <xf numFmtId="167" fontId="10" fillId="0" borderId="1" xfId="66" applyNumberFormat="1" applyFont="1" applyFill="1" applyBorder="1" applyAlignment="1">
      <alignment horizontal="center"/>
    </xf>
    <xf numFmtId="0" fontId="5" fillId="0" borderId="0" xfId="0" applyFont="1"/>
    <xf numFmtId="49" fontId="11" fillId="0" borderId="2" xfId="66" applyNumberFormat="1" applyFont="1" applyBorder="1" applyAlignment="1">
      <alignment horizontal="center" vertical="center" wrapText="1"/>
    </xf>
    <xf numFmtId="49" fontId="11" fillId="0" borderId="3" xfId="66" applyNumberFormat="1" applyFont="1" applyBorder="1" applyAlignment="1">
      <alignment horizontal="center" vertical="center" wrapText="1"/>
    </xf>
    <xf numFmtId="167" fontId="11" fillId="0" borderId="1" xfId="66" applyNumberFormat="1" applyFont="1" applyFill="1" applyBorder="1" applyAlignment="1">
      <alignment horizontal="center" vertical="center"/>
    </xf>
    <xf numFmtId="49" fontId="17" fillId="0" borderId="1" xfId="67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8" fillId="0" borderId="1" xfId="67" applyNumberFormat="1" applyFont="1" applyFill="1" applyBorder="1" applyAlignment="1">
      <alignment horizontal="center" vertical="center"/>
    </xf>
    <xf numFmtId="0" fontId="18" fillId="0" borderId="1" xfId="67" applyFont="1" applyFill="1" applyBorder="1" applyAlignment="1">
      <alignment horizontal="center" vertical="center"/>
    </xf>
    <xf numFmtId="49" fontId="18" fillId="0" borderId="1" xfId="67" applyNumberFormat="1" applyFont="1" applyBorder="1" applyAlignment="1">
      <alignment horizontal="center" vertical="center"/>
    </xf>
    <xf numFmtId="0" fontId="18" fillId="0" borderId="1" xfId="67" applyFont="1" applyBorder="1" applyAlignment="1">
      <alignment horizontal="center" vertical="center"/>
    </xf>
    <xf numFmtId="166" fontId="18" fillId="0" borderId="1" xfId="67" applyNumberFormat="1" applyFont="1" applyFill="1" applyBorder="1" applyAlignment="1">
      <alignment horizontal="center" vertical="center"/>
    </xf>
    <xf numFmtId="0" fontId="9" fillId="0" borderId="1" xfId="67" applyFont="1" applyBorder="1" applyAlignment="1">
      <alignment horizontal="center" vertical="center" wrapText="1"/>
    </xf>
    <xf numFmtId="0" fontId="9" fillId="0" borderId="1" xfId="67" applyFont="1" applyBorder="1" applyAlignment="1">
      <alignment horizontal="center" vertical="center" textRotation="90" wrapText="1"/>
    </xf>
    <xf numFmtId="166" fontId="9" fillId="0" borderId="1" xfId="67" applyNumberFormat="1" applyFont="1" applyBorder="1" applyAlignment="1">
      <alignment horizontal="center" vertical="center" wrapText="1"/>
    </xf>
    <xf numFmtId="166" fontId="17" fillId="0" borderId="1" xfId="67" applyNumberFormat="1" applyFont="1" applyFill="1" applyBorder="1" applyAlignment="1">
      <alignment horizontal="center" vertical="center"/>
    </xf>
    <xf numFmtId="166" fontId="17" fillId="0" borderId="1" xfId="67" applyNumberFormat="1" applyFont="1" applyBorder="1" applyAlignment="1">
      <alignment horizontal="center" vertical="center"/>
    </xf>
    <xf numFmtId="166" fontId="18" fillId="0" borderId="1" xfId="67" applyNumberFormat="1" applyFont="1" applyBorder="1" applyAlignment="1">
      <alignment horizontal="center" vertical="center"/>
    </xf>
    <xf numFmtId="0" fontId="9" fillId="0" borderId="1" xfId="67" applyFont="1" applyBorder="1" applyAlignment="1">
      <alignment horizontal="center"/>
    </xf>
    <xf numFmtId="0" fontId="17" fillId="0" borderId="1" xfId="67" applyFont="1" applyBorder="1" applyAlignment="1">
      <alignment horizontal="center" vertical="center"/>
    </xf>
    <xf numFmtId="0" fontId="9" fillId="2" borderId="0" xfId="0" applyFont="1" applyFill="1" applyAlignment="1"/>
    <xf numFmtId="49" fontId="18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5" fillId="2" borderId="0" xfId="0" applyFont="1" applyFill="1" applyAlignment="1">
      <alignment horizontal="center" vertical="center" wrapText="1"/>
    </xf>
    <xf numFmtId="0" fontId="9" fillId="0" borderId="0" xfId="67" applyFont="1" applyAlignment="1">
      <alignment horizontal="center" vertical="center"/>
    </xf>
    <xf numFmtId="166" fontId="9" fillId="0" borderId="0" xfId="67" applyNumberFormat="1" applyFont="1" applyAlignment="1">
      <alignment horizontal="center" vertical="center"/>
    </xf>
    <xf numFmtId="0" fontId="10" fillId="0" borderId="0" xfId="67" applyFont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shrinkToFit="1"/>
    </xf>
    <xf numFmtId="4" fontId="15" fillId="2" borderId="1" xfId="0" applyNumberFormat="1" applyFont="1" applyFill="1" applyBorder="1" applyAlignment="1">
      <alignment horizontal="center" vertical="center" shrinkToFit="1"/>
    </xf>
    <xf numFmtId="0" fontId="15" fillId="0" borderId="0" xfId="0" applyFont="1" applyFill="1"/>
    <xf numFmtId="0" fontId="20" fillId="0" borderId="0" xfId="0" applyFont="1"/>
    <xf numFmtId="0" fontId="15" fillId="0" borderId="0" xfId="0" applyFont="1" applyFill="1" applyAlignment="1">
      <alignment horizontal="center"/>
    </xf>
    <xf numFmtId="0" fontId="16" fillId="2" borderId="1" xfId="0" applyFont="1" applyFill="1" applyBorder="1" applyAlignment="1">
      <alignment vertical="center" shrinkToFit="1"/>
    </xf>
    <xf numFmtId="0" fontId="15" fillId="2" borderId="1" xfId="0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0" xfId="0" applyFont="1" applyFill="1" applyAlignment="1">
      <alignment horizontal="left" vertical="center" shrinkToFit="1"/>
    </xf>
    <xf numFmtId="0" fontId="15" fillId="2" borderId="0" xfId="0" applyFont="1" applyFill="1" applyAlignment="1">
      <alignment horizontal="center" vertical="center" shrinkToFit="1"/>
    </xf>
    <xf numFmtId="0" fontId="15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/>
    <xf numFmtId="166" fontId="17" fillId="6" borderId="1" xfId="67" applyNumberFormat="1" applyFont="1" applyFill="1" applyBorder="1" applyAlignment="1">
      <alignment horizontal="center" vertical="center"/>
    </xf>
    <xf numFmtId="166" fontId="18" fillId="6" borderId="1" xfId="67" applyNumberFormat="1" applyFont="1" applyFill="1" applyBorder="1" applyAlignment="1">
      <alignment horizontal="center" vertical="center"/>
    </xf>
    <xf numFmtId="166" fontId="36" fillId="0" borderId="1" xfId="67" applyNumberFormat="1" applyFont="1" applyFill="1" applyBorder="1" applyAlignment="1">
      <alignment horizontal="center" vertical="center"/>
    </xf>
    <xf numFmtId="0" fontId="9" fillId="0" borderId="0" xfId="67" applyFont="1" applyAlignment="1">
      <alignment horizontal="left" vertical="center"/>
    </xf>
    <xf numFmtId="0" fontId="9" fillId="0" borderId="0" xfId="67" applyFont="1" applyAlignment="1">
      <alignment horizontal="left" vertical="center" wrapText="1"/>
    </xf>
    <xf numFmtId="0" fontId="15" fillId="0" borderId="1" xfId="0" applyFont="1" applyBorder="1" applyAlignment="1">
      <alignment vertical="center" shrinkToFit="1"/>
    </xf>
    <xf numFmtId="0" fontId="20" fillId="0" borderId="0" xfId="0" applyFont="1" applyAlignment="1"/>
    <xf numFmtId="0" fontId="16" fillId="0" borderId="1" xfId="0" applyFont="1" applyBorder="1" applyAlignment="1">
      <alignment vertical="center" shrinkToFi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" fontId="15" fillId="2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60" applyFont="1" applyFill="1" applyAlignment="1">
      <alignment horizontal="center"/>
    </xf>
    <xf numFmtId="0" fontId="20" fillId="0" borderId="0" xfId="60" applyFont="1" applyFill="1" applyAlignment="1">
      <alignment horizontal="left"/>
    </xf>
    <xf numFmtId="0" fontId="20" fillId="0" borderId="0" xfId="60" applyFont="1" applyFill="1"/>
    <xf numFmtId="0" fontId="12" fillId="0" borderId="0" xfId="60" applyFont="1"/>
    <xf numFmtId="0" fontId="3" fillId="0" borderId="0" xfId="60" applyFont="1"/>
    <xf numFmtId="0" fontId="20" fillId="0" borderId="1" xfId="0" applyFont="1" applyBorder="1" applyAlignment="1"/>
    <xf numFmtId="4" fontId="15" fillId="0" borderId="1" xfId="0" applyNumberFormat="1" applyFont="1" applyBorder="1" applyAlignment="1">
      <alignment horizontal="center" vertical="center" shrinkToFit="1"/>
    </xf>
    <xf numFmtId="49" fontId="9" fillId="0" borderId="1" xfId="60" applyNumberFormat="1" applyFont="1" applyFill="1" applyBorder="1" applyAlignment="1">
      <alignment horizontal="center" vertical="center"/>
    </xf>
    <xf numFmtId="49" fontId="10" fillId="0" borderId="5" xfId="60" applyNumberFormat="1" applyFont="1" applyBorder="1" applyAlignment="1">
      <alignment vertical="center"/>
    </xf>
    <xf numFmtId="4" fontId="15" fillId="0" borderId="1" xfId="60" applyNumberFormat="1" applyFont="1" applyFill="1" applyBorder="1" applyAlignment="1">
      <alignment horizontal="center" vertical="center" shrinkToFit="1"/>
    </xf>
    <xf numFmtId="4" fontId="15" fillId="0" borderId="0" xfId="0" applyNumberFormat="1" applyFont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shrinkToFit="1"/>
    </xf>
    <xf numFmtId="49" fontId="16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center" vertical="center" shrinkToFit="1"/>
    </xf>
    <xf numFmtId="49" fontId="16" fillId="0" borderId="1" xfId="60" applyNumberFormat="1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165" fontId="15" fillId="0" borderId="1" xfId="68" applyFont="1" applyBorder="1" applyAlignment="1">
      <alignment vertical="center"/>
    </xf>
    <xf numFmtId="165" fontId="15" fillId="0" borderId="1" xfId="68" applyFont="1" applyBorder="1" applyAlignment="1">
      <alignment horizontal="center" vertical="center"/>
    </xf>
    <xf numFmtId="165" fontId="16" fillId="0" borderId="1" xfId="68" applyFont="1" applyBorder="1" applyAlignment="1">
      <alignment vertical="center"/>
    </xf>
    <xf numFmtId="168" fontId="15" fillId="0" borderId="1" xfId="68" applyNumberFormat="1" applyFont="1" applyBorder="1" applyAlignment="1">
      <alignment horizontal="center" vertical="center"/>
    </xf>
    <xf numFmtId="165" fontId="15" fillId="0" borderId="0" xfId="68" applyFont="1" applyAlignment="1">
      <alignment vertical="center"/>
    </xf>
    <xf numFmtId="4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shrinkToFit="1"/>
    </xf>
    <xf numFmtId="4" fontId="15" fillId="0" borderId="1" xfId="0" applyNumberFormat="1" applyFont="1" applyFill="1" applyBorder="1" applyAlignment="1">
      <alignment horizontal="center" vertical="center" shrinkToFit="1"/>
    </xf>
    <xf numFmtId="165" fontId="15" fillId="0" borderId="1" xfId="68" applyFont="1" applyFill="1" applyBorder="1" applyAlignment="1">
      <alignment vertical="center"/>
    </xf>
    <xf numFmtId="0" fontId="20" fillId="0" borderId="0" xfId="0" applyFont="1" applyFill="1" applyAlignment="1"/>
    <xf numFmtId="0" fontId="15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shrinkToFit="1"/>
    </xf>
    <xf numFmtId="4" fontId="16" fillId="0" borderId="1" xfId="0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vertical="center" shrinkToFit="1"/>
    </xf>
    <xf numFmtId="168" fontId="15" fillId="0" borderId="1" xfId="68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4" fontId="16" fillId="0" borderId="1" xfId="6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 wrapText="1" shrinkToFit="1"/>
    </xf>
    <xf numFmtId="0" fontId="24" fillId="2" borderId="1" xfId="0" applyFont="1" applyFill="1" applyBorder="1" applyAlignment="1">
      <alignment vertical="center" shrinkToFit="1"/>
    </xf>
    <xf numFmtId="168" fontId="15" fillId="0" borderId="1" xfId="68" applyNumberFormat="1" applyFont="1" applyBorder="1" applyAlignment="1">
      <alignment vertical="center"/>
    </xf>
    <xf numFmtId="49" fontId="16" fillId="2" borderId="2" xfId="0" applyNumberFormat="1" applyFont="1" applyFill="1" applyBorder="1" applyAlignment="1">
      <alignment horizontal="center" vertical="center" wrapText="1" shrinkToFit="1"/>
    </xf>
    <xf numFmtId="49" fontId="16" fillId="2" borderId="2" xfId="0" applyNumberFormat="1" applyFont="1" applyFill="1" applyBorder="1" applyAlignment="1">
      <alignment horizontal="left" vertical="center" wrapText="1" shrinkToFit="1"/>
    </xf>
    <xf numFmtId="2" fontId="16" fillId="2" borderId="1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left" vertical="center" wrapText="1" shrinkToFi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vertical="center" shrinkToFit="1"/>
    </xf>
    <xf numFmtId="0" fontId="15" fillId="2" borderId="1" xfId="0" applyFont="1" applyFill="1" applyBorder="1" applyAlignment="1">
      <alignment horizontal="center" vertical="center" wrapText="1" shrinkToFit="1"/>
    </xf>
    <xf numFmtId="0" fontId="15" fillId="2" borderId="1" xfId="0" applyFont="1" applyFill="1" applyBorder="1" applyAlignment="1">
      <alignment horizontal="left" vertical="center" wrapText="1" shrinkToFit="1"/>
    </xf>
    <xf numFmtId="0" fontId="15" fillId="6" borderId="1" xfId="0" applyFont="1" applyFill="1" applyBorder="1" applyAlignment="1">
      <alignment vertical="center" shrinkToFit="1"/>
    </xf>
    <xf numFmtId="0" fontId="15" fillId="6" borderId="1" xfId="0" applyFont="1" applyFill="1" applyBorder="1" applyAlignment="1">
      <alignment horizontal="left" vertical="center" wrapText="1"/>
    </xf>
    <xf numFmtId="4" fontId="15" fillId="6" borderId="1" xfId="0" applyNumberFormat="1" applyFont="1" applyFill="1" applyBorder="1" applyAlignment="1">
      <alignment horizontal="center" vertical="center" shrinkToFit="1"/>
    </xf>
    <xf numFmtId="0" fontId="20" fillId="6" borderId="0" xfId="0" applyFont="1" applyFill="1" applyAlignment="1"/>
    <xf numFmtId="49" fontId="10" fillId="0" borderId="1" xfId="0" applyNumberFormat="1" applyFont="1" applyBorder="1" applyAlignment="1">
      <alignment horizontal="center" vertical="center"/>
    </xf>
    <xf numFmtId="49" fontId="10" fillId="0" borderId="1" xfId="6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2" fontId="15" fillId="0" borderId="1" xfId="68" applyNumberFormat="1" applyFont="1" applyBorder="1" applyAlignment="1">
      <alignment horizontal="center" vertical="center"/>
    </xf>
    <xf numFmtId="4" fontId="15" fillId="0" borderId="0" xfId="0" applyNumberFormat="1" applyFont="1" applyAlignment="1"/>
    <xf numFmtId="4" fontId="15" fillId="0" borderId="0" xfId="0" applyNumberFormat="1" applyFont="1" applyAlignment="1">
      <alignment vertical="center"/>
    </xf>
    <xf numFmtId="4" fontId="15" fillId="6" borderId="1" xfId="60" applyNumberFormat="1" applyFont="1" applyFill="1" applyBorder="1" applyAlignment="1">
      <alignment horizontal="center" vertical="center" shrinkToFit="1"/>
    </xf>
    <xf numFmtId="0" fontId="25" fillId="0" borderId="0" xfId="0" applyFont="1"/>
    <xf numFmtId="0" fontId="26" fillId="0" borderId="0" xfId="0" applyFont="1"/>
    <xf numFmtId="4" fontId="27" fillId="0" borderId="0" xfId="0" applyNumberFormat="1" applyFont="1" applyAlignment="1">
      <alignment vertical="center"/>
    </xf>
    <xf numFmtId="4" fontId="16" fillId="2" borderId="0" xfId="0" applyNumberFormat="1" applyFont="1" applyFill="1" applyBorder="1" applyAlignment="1">
      <alignment horizontal="center" vertical="center" shrinkToFit="1"/>
    </xf>
    <xf numFmtId="4" fontId="15" fillId="2" borderId="0" xfId="0" applyNumberFormat="1" applyFont="1" applyFill="1" applyBorder="1" applyAlignment="1">
      <alignment horizontal="center" vertical="center" shrinkToFit="1"/>
    </xf>
    <xf numFmtId="4" fontId="16" fillId="0" borderId="0" xfId="0" applyNumberFormat="1" applyFont="1" applyAlignment="1">
      <alignment horizontal="center"/>
    </xf>
    <xf numFmtId="4" fontId="16" fillId="0" borderId="0" xfId="0" applyNumberFormat="1" applyFont="1" applyAlignment="1"/>
    <xf numFmtId="4" fontId="16" fillId="0" borderId="0" xfId="0" applyNumberFormat="1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center" vertical="center"/>
    </xf>
    <xf numFmtId="168" fontId="15" fillId="6" borderId="1" xfId="68" applyNumberFormat="1" applyFont="1" applyFill="1" applyBorder="1" applyAlignment="1">
      <alignment horizontal="center" vertical="center"/>
    </xf>
    <xf numFmtId="4" fontId="15" fillId="0" borderId="0" xfId="0" applyNumberFormat="1" applyFont="1" applyFill="1" applyAlignment="1">
      <alignment vertical="center"/>
    </xf>
    <xf numFmtId="4" fontId="11" fillId="0" borderId="1" xfId="69" applyNumberFormat="1" applyFont="1" applyBorder="1" applyAlignment="1">
      <alignment horizontal="center" vertical="center"/>
    </xf>
    <xf numFmtId="4" fontId="16" fillId="0" borderId="1" xfId="69" applyNumberFormat="1" applyFont="1" applyFill="1" applyBorder="1" applyAlignment="1">
      <alignment horizontal="center" vertical="center" shrinkToFit="1"/>
    </xf>
    <xf numFmtId="4" fontId="15" fillId="0" borderId="1" xfId="69" applyNumberFormat="1" applyFont="1" applyFill="1" applyBorder="1" applyAlignment="1">
      <alignment horizontal="center" vertical="center" shrinkToFit="1"/>
    </xf>
    <xf numFmtId="165" fontId="20" fillId="0" borderId="0" xfId="69" applyFont="1" applyFill="1" applyAlignment="1">
      <alignment horizontal="center"/>
    </xf>
    <xf numFmtId="0" fontId="20" fillId="7" borderId="0" xfId="0" applyFont="1" applyFill="1"/>
    <xf numFmtId="0" fontId="15" fillId="6" borderId="1" xfId="0" applyFont="1" applyFill="1" applyBorder="1" applyAlignment="1">
      <alignment horizontal="center" vertical="center" shrinkToFit="1"/>
    </xf>
    <xf numFmtId="0" fontId="37" fillId="0" borderId="0" xfId="13" applyNumberFormat="1" applyFont="1" applyFill="1" applyProtection="1">
      <alignment horizont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" fontId="15" fillId="7" borderId="0" xfId="0" applyNumberFormat="1" applyFont="1" applyFill="1" applyAlignment="1">
      <alignment horizontal="center" vertical="center"/>
    </xf>
    <xf numFmtId="4" fontId="16" fillId="6" borderId="1" xfId="0" applyNumberFormat="1" applyFont="1" applyFill="1" applyBorder="1" applyAlignment="1">
      <alignment horizontal="center" vertical="center" shrinkToFit="1"/>
    </xf>
    <xf numFmtId="0" fontId="0" fillId="0" borderId="2" xfId="0" applyBorder="1"/>
    <xf numFmtId="0" fontId="15" fillId="0" borderId="1" xfId="0" applyFont="1" applyFill="1" applyBorder="1" applyAlignment="1">
      <alignment horizontal="center" vertical="center" wrapText="1"/>
    </xf>
    <xf numFmtId="0" fontId="38" fillId="0" borderId="0" xfId="0" applyFont="1" applyBorder="1"/>
    <xf numFmtId="49" fontId="39" fillId="0" borderId="5" xfId="60" applyNumberFormat="1" applyFont="1" applyBorder="1" applyAlignment="1">
      <alignment vertical="center"/>
    </xf>
    <xf numFmtId="4" fontId="40" fillId="0" borderId="1" xfId="60" applyNumberFormat="1" applyFont="1" applyFill="1" applyBorder="1" applyAlignment="1">
      <alignment horizontal="center" vertical="center" shrinkToFit="1"/>
    </xf>
    <xf numFmtId="0" fontId="3" fillId="0" borderId="0" xfId="0" applyFont="1" applyFill="1"/>
    <xf numFmtId="0" fontId="21" fillId="0" borderId="0" xfId="0" applyFont="1" applyFill="1"/>
    <xf numFmtId="0" fontId="22" fillId="0" borderId="0" xfId="0" applyFont="1" applyFill="1"/>
    <xf numFmtId="49" fontId="15" fillId="0" borderId="1" xfId="60" applyNumberFormat="1" applyFont="1" applyFill="1" applyBorder="1" applyAlignment="1">
      <alignment horizontal="center" vertical="center" shrinkToFit="1"/>
    </xf>
    <xf numFmtId="0" fontId="38" fillId="0" borderId="0" xfId="0" applyFont="1" applyFill="1" applyBorder="1"/>
    <xf numFmtId="49" fontId="15" fillId="0" borderId="1" xfId="60" applyNumberFormat="1" applyFont="1" applyFill="1" applyBorder="1" applyAlignment="1">
      <alignment horizontal="center" vertical="center"/>
    </xf>
    <xf numFmtId="0" fontId="15" fillId="0" borderId="0" xfId="0" applyFont="1"/>
    <xf numFmtId="0" fontId="15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center" vertical="center" shrinkToFit="1"/>
    </xf>
    <xf numFmtId="4" fontId="15" fillId="7" borderId="1" xfId="0" applyNumberFormat="1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left" vertical="center" wrapText="1"/>
    </xf>
    <xf numFmtId="165" fontId="15" fillId="0" borderId="1" xfId="68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2" fillId="0" borderId="0" xfId="0" applyFont="1" applyBorder="1"/>
    <xf numFmtId="0" fontId="16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/>
    <xf numFmtId="4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165" fontId="15" fillId="0" borderId="0" xfId="68" applyFont="1" applyAlignment="1">
      <alignment horizontal="left" vertical="center"/>
    </xf>
    <xf numFmtId="4" fontId="24" fillId="0" borderId="0" xfId="0" applyNumberFormat="1" applyFont="1"/>
    <xf numFmtId="4" fontId="40" fillId="0" borderId="1" xfId="69" applyNumberFormat="1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34" fillId="0" borderId="0" xfId="9" applyNumberFormat="1" applyFont="1" applyFill="1" applyProtection="1"/>
    <xf numFmtId="0" fontId="9" fillId="0" borderId="0" xfId="0" applyFont="1" applyFill="1" applyProtection="1">
      <protection locked="0"/>
    </xf>
    <xf numFmtId="0" fontId="34" fillId="0" borderId="0" xfId="15" applyNumberFormat="1" applyFont="1" applyFill="1" applyProtection="1">
      <alignment wrapText="1"/>
    </xf>
    <xf numFmtId="0" fontId="34" fillId="0" borderId="0" xfId="17" applyNumberFormat="1" applyFont="1" applyFill="1" applyProtection="1">
      <alignment horizontal="right"/>
    </xf>
    <xf numFmtId="0" fontId="34" fillId="0" borderId="20" xfId="23" applyNumberFormat="1" applyFont="1" applyFill="1" applyProtection="1"/>
    <xf numFmtId="0" fontId="34" fillId="0" borderId="18" xfId="25" applyNumberFormat="1" applyFont="1" applyFill="1" applyProtection="1">
      <alignment horizontal="center" vertical="center" shrinkToFit="1"/>
    </xf>
    <xf numFmtId="0" fontId="34" fillId="0" borderId="18" xfId="70" quotePrefix="1" applyNumberFormat="1" applyFont="1" applyFill="1" applyProtection="1">
      <alignment horizontal="left" vertical="top" wrapText="1"/>
    </xf>
    <xf numFmtId="0" fontId="34" fillId="0" borderId="18" xfId="70" applyNumberFormat="1" applyFont="1" applyFill="1" applyProtection="1">
      <alignment horizontal="left" vertical="top" wrapText="1"/>
    </xf>
    <xf numFmtId="4" fontId="34" fillId="0" borderId="18" xfId="41" applyNumberFormat="1" applyFont="1" applyFill="1" applyProtection="1">
      <alignment horizontal="right" vertical="top" shrinkToFit="1"/>
    </xf>
    <xf numFmtId="0" fontId="42" fillId="0" borderId="18" xfId="29" applyNumberFormat="1" applyFont="1" applyFill="1" applyProtection="1">
      <alignment horizontal="left"/>
    </xf>
    <xf numFmtId="4" fontId="42" fillId="0" borderId="18" xfId="31" applyNumberFormat="1" applyFont="1" applyFill="1" applyProtection="1">
      <alignment horizontal="right" vertical="top" shrinkToFit="1"/>
    </xf>
    <xf numFmtId="0" fontId="34" fillId="0" borderId="21" xfId="35" applyNumberFormat="1" applyFont="1" applyFill="1" applyProtection="1"/>
    <xf numFmtId="0" fontId="34" fillId="0" borderId="0" xfId="37" applyNumberFormat="1" applyFont="1" applyFill="1" applyProtection="1">
      <alignment horizontal="left" wrapText="1"/>
    </xf>
    <xf numFmtId="0" fontId="42" fillId="0" borderId="0" xfId="13" applyNumberFormat="1" applyFont="1" applyFill="1" applyProtection="1">
      <alignment horizontal="center"/>
    </xf>
    <xf numFmtId="0" fontId="10" fillId="0" borderId="0" xfId="56" applyFont="1" applyFill="1"/>
    <xf numFmtId="0" fontId="9" fillId="0" borderId="0" xfId="0" applyFont="1" applyFill="1"/>
    <xf numFmtId="0" fontId="15" fillId="0" borderId="0" xfId="0" applyFont="1" applyAlignment="1">
      <alignment horizontal="right" wrapText="1"/>
    </xf>
    <xf numFmtId="49" fontId="15" fillId="2" borderId="1" xfId="0" applyNumberFormat="1" applyFont="1" applyFill="1" applyBorder="1" applyAlignment="1">
      <alignment horizontal="center" vertical="center" wrapText="1" shrinkToFit="1"/>
    </xf>
    <xf numFmtId="49" fontId="15" fillId="2" borderId="6" xfId="0" applyNumberFormat="1" applyFont="1" applyFill="1" applyBorder="1" applyAlignment="1">
      <alignment horizontal="center" vertical="center" wrapText="1" shrinkToFit="1"/>
    </xf>
    <xf numFmtId="49" fontId="15" fillId="2" borderId="2" xfId="0" applyNumberFormat="1" applyFont="1" applyFill="1" applyBorder="1" applyAlignment="1">
      <alignment horizontal="center" vertical="center" wrapText="1" shrinkToFit="1"/>
    </xf>
    <xf numFmtId="0" fontId="16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 shrinkToFit="1"/>
    </xf>
    <xf numFmtId="0" fontId="16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8" fillId="0" borderId="4" xfId="67" applyFont="1" applyFill="1" applyBorder="1" applyAlignment="1">
      <alignment horizontal="left" vertical="center" wrapText="1"/>
    </xf>
    <xf numFmtId="0" fontId="18" fillId="0" borderId="7" xfId="67" applyFont="1" applyFill="1" applyBorder="1" applyAlignment="1">
      <alignment horizontal="left" vertical="center" wrapText="1"/>
    </xf>
    <xf numFmtId="0" fontId="9" fillId="0" borderId="6" xfId="67" applyFont="1" applyFill="1" applyBorder="1" applyAlignment="1">
      <alignment horizontal="center" vertical="center"/>
    </xf>
    <xf numFmtId="0" fontId="9" fillId="0" borderId="2" xfId="67" applyFont="1" applyFill="1" applyBorder="1" applyAlignment="1">
      <alignment horizontal="center" vertical="center"/>
    </xf>
    <xf numFmtId="0" fontId="17" fillId="0" borderId="4" xfId="67" applyFont="1" applyFill="1" applyBorder="1" applyAlignment="1">
      <alignment horizontal="left" vertical="center" wrapText="1"/>
    </xf>
    <xf numFmtId="0" fontId="17" fillId="0" borderId="7" xfId="67" applyFont="1" applyFill="1" applyBorder="1" applyAlignment="1">
      <alignment horizontal="left" vertical="center" wrapText="1"/>
    </xf>
    <xf numFmtId="0" fontId="17" fillId="0" borderId="1" xfId="67" applyFont="1" applyFill="1" applyBorder="1" applyAlignment="1">
      <alignment horizontal="left" vertical="center" wrapText="1"/>
    </xf>
    <xf numFmtId="0" fontId="18" fillId="0" borderId="1" xfId="67" applyFont="1" applyFill="1" applyBorder="1" applyAlignment="1">
      <alignment horizontal="left" vertical="center" wrapText="1"/>
    </xf>
    <xf numFmtId="0" fontId="9" fillId="0" borderId="1" xfId="67" applyFont="1" applyFill="1" applyBorder="1" applyAlignment="1">
      <alignment horizontal="center" vertical="center"/>
    </xf>
    <xf numFmtId="0" fontId="17" fillId="0" borderId="1" xfId="67" applyFont="1" applyFill="1" applyBorder="1" applyAlignment="1">
      <alignment horizontal="left" vertical="center"/>
    </xf>
    <xf numFmtId="0" fontId="36" fillId="0" borderId="1" xfId="67" applyFont="1" applyFill="1" applyBorder="1" applyAlignment="1">
      <alignment horizontal="left" vertical="center" wrapText="1"/>
    </xf>
    <xf numFmtId="0" fontId="36" fillId="0" borderId="1" xfId="67" applyFont="1" applyFill="1" applyBorder="1" applyAlignment="1">
      <alignment horizontal="left" vertical="center"/>
    </xf>
    <xf numFmtId="0" fontId="18" fillId="0" borderId="10" xfId="67" applyFont="1" applyFill="1" applyBorder="1" applyAlignment="1">
      <alignment horizontal="center" vertical="center" wrapText="1"/>
    </xf>
    <xf numFmtId="0" fontId="18" fillId="0" borderId="11" xfId="67" applyFont="1" applyFill="1" applyBorder="1" applyAlignment="1">
      <alignment horizontal="center" vertical="center" wrapText="1"/>
    </xf>
    <xf numFmtId="0" fontId="17" fillId="0" borderId="1" xfId="67" applyFont="1" applyBorder="1" applyAlignment="1">
      <alignment horizontal="left" vertical="center"/>
    </xf>
    <xf numFmtId="0" fontId="17" fillId="0" borderId="1" xfId="67" applyFont="1" applyBorder="1" applyAlignment="1">
      <alignment horizontal="left" vertical="center" wrapText="1"/>
    </xf>
    <xf numFmtId="0" fontId="18" fillId="0" borderId="3" xfId="67" applyFont="1" applyFill="1" applyBorder="1" applyAlignment="1">
      <alignment horizontal="center" vertical="center" wrapText="1"/>
    </xf>
    <xf numFmtId="0" fontId="18" fillId="0" borderId="12" xfId="67" applyFont="1" applyFill="1" applyBorder="1" applyAlignment="1">
      <alignment horizontal="center" vertical="center" wrapText="1"/>
    </xf>
    <xf numFmtId="0" fontId="18" fillId="0" borderId="1" xfId="67" applyFont="1" applyBorder="1" applyAlignment="1">
      <alignment horizontal="left" vertical="center" wrapText="1"/>
    </xf>
    <xf numFmtId="0" fontId="9" fillId="0" borderId="8" xfId="67" applyFont="1" applyFill="1" applyBorder="1" applyAlignment="1">
      <alignment horizontal="center" vertical="center"/>
    </xf>
    <xf numFmtId="0" fontId="16" fillId="0" borderId="0" xfId="67" applyFont="1" applyAlignment="1">
      <alignment horizontal="center"/>
    </xf>
    <xf numFmtId="0" fontId="18" fillId="0" borderId="1" xfId="67" applyFont="1" applyFill="1" applyBorder="1" applyAlignment="1">
      <alignment horizontal="left" vertical="center"/>
    </xf>
    <xf numFmtId="0" fontId="18" fillId="0" borderId="10" xfId="67" applyFont="1" applyFill="1" applyBorder="1" applyAlignment="1">
      <alignment horizontal="left" vertical="center" wrapText="1"/>
    </xf>
    <xf numFmtId="0" fontId="18" fillId="0" borderId="11" xfId="67" applyFont="1" applyFill="1" applyBorder="1" applyAlignment="1">
      <alignment horizontal="left" vertical="center" wrapText="1"/>
    </xf>
    <xf numFmtId="0" fontId="18" fillId="0" borderId="3" xfId="67" applyFont="1" applyFill="1" applyBorder="1" applyAlignment="1">
      <alignment horizontal="left" vertical="center" wrapText="1"/>
    </xf>
    <xf numFmtId="0" fontId="18" fillId="0" borderId="12" xfId="67" applyFont="1" applyFill="1" applyBorder="1" applyAlignment="1">
      <alignment horizontal="left" vertical="center" wrapText="1"/>
    </xf>
    <xf numFmtId="0" fontId="18" fillId="0" borderId="4" xfId="67" applyFont="1" applyBorder="1" applyAlignment="1">
      <alignment horizontal="left" vertical="center" wrapText="1"/>
    </xf>
    <xf numFmtId="0" fontId="18" fillId="0" borderId="7" xfId="67" applyFont="1" applyBorder="1" applyAlignment="1">
      <alignment horizontal="left" vertical="center" wrapText="1"/>
    </xf>
    <xf numFmtId="0" fontId="9" fillId="0" borderId="1" xfId="67" applyFont="1" applyBorder="1" applyAlignment="1">
      <alignment horizontal="left" vertical="center" wrapText="1"/>
    </xf>
    <xf numFmtId="0" fontId="9" fillId="0" borderId="1" xfId="67" applyFont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6" xfId="60" applyNumberFormat="1" applyFont="1" applyBorder="1" applyAlignment="1">
      <alignment horizontal="center" vertical="top"/>
    </xf>
    <xf numFmtId="0" fontId="0" fillId="0" borderId="8" xfId="0" applyBorder="1"/>
    <xf numFmtId="0" fontId="0" fillId="0" borderId="2" xfId="0" applyBorder="1"/>
    <xf numFmtId="49" fontId="16" fillId="0" borderId="1" xfId="60" applyNumberFormat="1" applyFont="1" applyFill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10" fillId="0" borderId="5" xfId="0" applyNumberFormat="1" applyFont="1" applyBorder="1" applyAlignment="1">
      <alignment vertical="center" wrapText="1"/>
    </xf>
    <xf numFmtId="49" fontId="10" fillId="0" borderId="7" xfId="0" applyNumberFormat="1" applyFont="1" applyBorder="1" applyAlignment="1">
      <alignment vertical="center" wrapText="1"/>
    </xf>
    <xf numFmtId="49" fontId="10" fillId="0" borderId="4" xfId="60" applyNumberFormat="1" applyFont="1" applyFill="1" applyBorder="1" applyAlignment="1">
      <alignment horizontal="left" vertical="center" wrapText="1"/>
    </xf>
    <xf numFmtId="49" fontId="10" fillId="0" borderId="5" xfId="60" applyNumberFormat="1" applyFont="1" applyFill="1" applyBorder="1" applyAlignment="1">
      <alignment horizontal="left" vertical="center" wrapText="1"/>
    </xf>
    <xf numFmtId="0" fontId="10" fillId="0" borderId="4" xfId="60" applyNumberFormat="1" applyFont="1" applyFill="1" applyBorder="1" applyAlignment="1">
      <alignment horizontal="left" vertical="center" wrapText="1"/>
    </xf>
    <xf numFmtId="0" fontId="10" fillId="0" borderId="5" xfId="60" applyNumberFormat="1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top"/>
    </xf>
    <xf numFmtId="49" fontId="16" fillId="0" borderId="8" xfId="0" applyNumberFormat="1" applyFont="1" applyFill="1" applyBorder="1" applyAlignment="1">
      <alignment horizontal="center" vertical="top"/>
    </xf>
    <xf numFmtId="49" fontId="16" fillId="0" borderId="2" xfId="0" applyNumberFormat="1" applyFont="1" applyFill="1" applyBorder="1" applyAlignment="1">
      <alignment horizontal="center" vertical="top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7" xfId="0" applyNumberFormat="1" applyFont="1" applyFill="1" applyBorder="1" applyAlignment="1">
      <alignment vertical="center" wrapText="1"/>
    </xf>
    <xf numFmtId="0" fontId="15" fillId="6" borderId="0" xfId="0" applyFont="1" applyFill="1" applyAlignment="1">
      <alignment horizontal="right" wrapText="1"/>
    </xf>
    <xf numFmtId="0" fontId="16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textRotation="90" wrapText="1" readingOrder="1"/>
    </xf>
    <xf numFmtId="0" fontId="9" fillId="0" borderId="2" xfId="0" applyFont="1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vertical="center" wrapText="1"/>
    </xf>
    <xf numFmtId="49" fontId="39" fillId="0" borderId="4" xfId="60" applyNumberFormat="1" applyFont="1" applyFill="1" applyBorder="1" applyAlignment="1">
      <alignment horizontal="left" vertical="center" wrapText="1"/>
    </xf>
    <xf numFmtId="49" fontId="39" fillId="0" borderId="5" xfId="60" applyNumberFormat="1" applyFont="1" applyFill="1" applyBorder="1" applyAlignment="1">
      <alignment horizontal="left" vertical="center" wrapText="1"/>
    </xf>
    <xf numFmtId="49" fontId="10" fillId="0" borderId="2" xfId="66" applyNumberFormat="1" applyFont="1" applyFill="1" applyBorder="1" applyAlignment="1">
      <alignment horizontal="center" vertical="center" wrapText="1"/>
    </xf>
    <xf numFmtId="49" fontId="10" fillId="0" borderId="2" xfId="66" applyNumberFormat="1" applyFont="1" applyFill="1" applyBorder="1" applyAlignment="1">
      <alignment horizontal="center" vertical="center"/>
    </xf>
    <xf numFmtId="0" fontId="10" fillId="0" borderId="6" xfId="66" applyFont="1" applyFill="1" applyBorder="1" applyAlignment="1">
      <alignment horizontal="center" wrapText="1"/>
    </xf>
    <xf numFmtId="0" fontId="10" fillId="0" borderId="2" xfId="66" applyFont="1" applyFill="1" applyBorder="1" applyAlignment="1">
      <alignment horizontal="center"/>
    </xf>
    <xf numFmtId="0" fontId="10" fillId="0" borderId="10" xfId="66" applyFont="1" applyFill="1" applyBorder="1" applyAlignment="1">
      <alignment horizontal="center" vertical="center" wrapText="1"/>
    </xf>
    <xf numFmtId="0" fontId="10" fillId="0" borderId="13" xfId="66" applyFont="1" applyFill="1" applyBorder="1" applyAlignment="1">
      <alignment horizontal="center" vertical="center" wrapText="1"/>
    </xf>
    <xf numFmtId="0" fontId="10" fillId="0" borderId="11" xfId="66" applyFont="1" applyFill="1" applyBorder="1" applyAlignment="1">
      <alignment horizontal="center" vertical="center" wrapText="1"/>
    </xf>
    <xf numFmtId="0" fontId="10" fillId="0" borderId="3" xfId="66" applyFont="1" applyFill="1" applyBorder="1" applyAlignment="1">
      <alignment horizontal="center" vertical="center" wrapText="1"/>
    </xf>
    <xf numFmtId="0" fontId="10" fillId="0" borderId="9" xfId="66" applyFont="1" applyFill="1" applyBorder="1" applyAlignment="1">
      <alignment horizontal="center" vertical="center" wrapText="1"/>
    </xf>
    <xf numFmtId="0" fontId="10" fillId="0" borderId="12" xfId="66" applyFont="1" applyFill="1" applyBorder="1" applyAlignment="1">
      <alignment horizontal="center" vertical="center" wrapText="1"/>
    </xf>
    <xf numFmtId="0" fontId="11" fillId="0" borderId="1" xfId="66" applyFont="1" applyBorder="1" applyAlignment="1">
      <alignment horizontal="center"/>
    </xf>
    <xf numFmtId="0" fontId="10" fillId="0" borderId="0" xfId="66" applyFont="1" applyBorder="1" applyAlignment="1">
      <alignment horizontal="center" vertical="center" wrapText="1"/>
    </xf>
    <xf numFmtId="0" fontId="10" fillId="0" borderId="16" xfId="66" applyFont="1" applyBorder="1" applyAlignment="1">
      <alignment horizontal="center" vertical="center" wrapText="1"/>
    </xf>
    <xf numFmtId="0" fontId="10" fillId="0" borderId="1" xfId="66" applyFont="1" applyBorder="1" applyAlignment="1">
      <alignment horizontal="center" vertical="center" wrapText="1"/>
    </xf>
    <xf numFmtId="0" fontId="10" fillId="0" borderId="4" xfId="66" applyFont="1" applyFill="1" applyBorder="1" applyAlignment="1">
      <alignment horizontal="left" wrapText="1"/>
    </xf>
    <xf numFmtId="0" fontId="10" fillId="0" borderId="5" xfId="66" applyFont="1" applyFill="1" applyBorder="1" applyAlignment="1">
      <alignment horizontal="left" wrapText="1"/>
    </xf>
    <xf numFmtId="0" fontId="10" fillId="0" borderId="7" xfId="66" applyFont="1" applyFill="1" applyBorder="1" applyAlignment="1">
      <alignment horizontal="left" wrapText="1"/>
    </xf>
    <xf numFmtId="0" fontId="16" fillId="0" borderId="4" xfId="66" applyFont="1" applyFill="1" applyBorder="1" applyAlignment="1">
      <alignment horizontal="left" vertical="center"/>
    </xf>
    <xf numFmtId="0" fontId="16" fillId="0" borderId="5" xfId="66" applyFont="1" applyFill="1" applyBorder="1" applyAlignment="1">
      <alignment horizontal="left" vertical="center"/>
    </xf>
    <xf numFmtId="0" fontId="16" fillId="0" borderId="7" xfId="66" applyFont="1" applyFill="1" applyBorder="1" applyAlignment="1">
      <alignment horizontal="left" vertical="center"/>
    </xf>
    <xf numFmtId="49" fontId="10" fillId="0" borderId="4" xfId="66" applyNumberFormat="1" applyFont="1" applyBorder="1" applyAlignment="1">
      <alignment vertical="center" wrapText="1"/>
    </xf>
    <xf numFmtId="49" fontId="10" fillId="0" borderId="7" xfId="66" applyNumberFormat="1" applyFont="1" applyBorder="1" applyAlignment="1">
      <alignment vertical="center"/>
    </xf>
    <xf numFmtId="0" fontId="11" fillId="0" borderId="0" xfId="66" applyFont="1" applyFill="1" applyAlignment="1">
      <alignment horizontal="left" wrapText="1"/>
    </xf>
    <xf numFmtId="0" fontId="11" fillId="0" borderId="0" xfId="66" applyFont="1" applyFill="1" applyAlignment="1">
      <alignment horizontal="left"/>
    </xf>
    <xf numFmtId="0" fontId="10" fillId="0" borderId="1" xfId="66" applyFont="1" applyFill="1" applyBorder="1" applyAlignment="1">
      <alignment horizontal="center" wrapText="1"/>
    </xf>
    <xf numFmtId="0" fontId="10" fillId="0" borderId="1" xfId="66" applyFont="1" applyFill="1" applyBorder="1" applyAlignment="1">
      <alignment horizontal="center"/>
    </xf>
    <xf numFmtId="0" fontId="11" fillId="0" borderId="0" xfId="66" applyFont="1" applyBorder="1" applyAlignment="1">
      <alignment horizontal="left" wrapText="1"/>
    </xf>
    <xf numFmtId="0" fontId="11" fillId="0" borderId="0" xfId="66" applyFont="1" applyBorder="1" applyAlignment="1">
      <alignment horizontal="left"/>
    </xf>
    <xf numFmtId="0" fontId="10" fillId="0" borderId="6" xfId="66" applyFont="1" applyBorder="1" applyAlignment="1">
      <alignment horizontal="center" vertical="center" wrapText="1"/>
    </xf>
    <xf numFmtId="0" fontId="10" fillId="0" borderId="2" xfId="66" applyFont="1" applyBorder="1" applyAlignment="1">
      <alignment horizontal="center" vertical="center" wrapText="1"/>
    </xf>
    <xf numFmtId="0" fontId="10" fillId="0" borderId="0" xfId="66" applyFont="1" applyFill="1" applyAlignment="1">
      <alignment horizontal="left" wrapText="1"/>
    </xf>
    <xf numFmtId="0" fontId="10" fillId="0" borderId="0" xfId="66" applyFont="1" applyFill="1" applyAlignment="1">
      <alignment horizontal="left"/>
    </xf>
    <xf numFmtId="0" fontId="11" fillId="0" borderId="0" xfId="66" applyFont="1" applyAlignment="1">
      <alignment horizontal="center" wrapText="1"/>
    </xf>
    <xf numFmtId="0" fontId="11" fillId="0" borderId="0" xfId="66" applyFont="1" applyAlignment="1">
      <alignment horizontal="center"/>
    </xf>
    <xf numFmtId="0" fontId="15" fillId="0" borderId="0" xfId="0" applyFont="1" applyAlignment="1">
      <alignment horizontal="right" vertical="top" wrapText="1"/>
    </xf>
    <xf numFmtId="0" fontId="37" fillId="0" borderId="0" xfId="55" applyNumberFormat="1" applyFont="1" applyFill="1" applyAlignment="1">
      <alignment horizontal="center" vertical="center" wrapText="1"/>
    </xf>
    <xf numFmtId="0" fontId="34" fillId="0" borderId="0" xfId="15" applyNumberFormat="1" applyFont="1" applyFill="1" applyProtection="1">
      <alignment wrapText="1"/>
    </xf>
    <xf numFmtId="0" fontId="34" fillId="0" borderId="0" xfId="15" applyFont="1" applyFill="1">
      <alignment wrapText="1"/>
    </xf>
    <xf numFmtId="0" fontId="34" fillId="0" borderId="0" xfId="17" applyNumberFormat="1" applyFont="1" applyFill="1" applyProtection="1">
      <alignment horizontal="right"/>
    </xf>
    <xf numFmtId="0" fontId="34" fillId="0" borderId="0" xfId="17" applyFont="1" applyFill="1">
      <alignment horizontal="right"/>
    </xf>
    <xf numFmtId="0" fontId="34" fillId="0" borderId="18" xfId="21" applyNumberFormat="1" applyFont="1" applyFill="1" applyProtection="1">
      <alignment horizontal="center" vertical="center" wrapText="1"/>
    </xf>
    <xf numFmtId="0" fontId="34" fillId="0" borderId="18" xfId="21" applyFont="1" applyFill="1">
      <alignment horizontal="center" vertical="center" wrapText="1"/>
    </xf>
    <xf numFmtId="0" fontId="34" fillId="0" borderId="0" xfId="37" applyNumberFormat="1" applyFont="1" applyFill="1" applyProtection="1">
      <alignment horizontal="left" wrapText="1"/>
    </xf>
    <xf numFmtId="0" fontId="34" fillId="0" borderId="0" xfId="37" applyFont="1" applyFill="1">
      <alignment horizontal="left" wrapText="1"/>
    </xf>
    <xf numFmtId="0" fontId="15" fillId="0" borderId="0" xfId="0" applyFont="1" applyFill="1" applyAlignment="1">
      <alignment horizontal="right" wrapText="1"/>
    </xf>
    <xf numFmtId="0" fontId="16" fillId="0" borderId="1" xfId="60" applyFont="1" applyFill="1" applyBorder="1" applyAlignment="1">
      <alignment horizontal="left" vertical="center" wrapText="1"/>
    </xf>
    <xf numFmtId="0" fontId="10" fillId="0" borderId="1" xfId="60" applyNumberFormat="1" applyFont="1" applyFill="1" applyBorder="1" applyAlignment="1">
      <alignment horizontal="left" vertical="center" wrapText="1"/>
    </xf>
    <xf numFmtId="0" fontId="16" fillId="0" borderId="1" xfId="60" applyNumberFormat="1" applyFont="1" applyFill="1" applyBorder="1" applyAlignment="1">
      <alignment horizontal="left" vertical="center" wrapText="1"/>
    </xf>
    <xf numFmtId="0" fontId="16" fillId="0" borderId="1" xfId="6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49" fontId="10" fillId="0" borderId="1" xfId="60" applyNumberFormat="1" applyFont="1" applyFill="1" applyBorder="1" applyAlignment="1">
      <alignment horizontal="left" vertical="center" wrapText="1"/>
    </xf>
    <xf numFmtId="0" fontId="16" fillId="0" borderId="1" xfId="60" applyFont="1" applyFill="1" applyBorder="1" applyAlignment="1">
      <alignment horizontal="left" vertical="center"/>
    </xf>
    <xf numFmtId="49" fontId="39" fillId="0" borderId="7" xfId="60" applyNumberFormat="1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right" vertical="center" wrapText="1"/>
    </xf>
    <xf numFmtId="0" fontId="15" fillId="0" borderId="0" xfId="0" applyFont="1" applyFill="1" applyAlignment="1"/>
    <xf numFmtId="0" fontId="16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49" fontId="15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</cellXfs>
  <cellStyles count="7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2 2" xfId="8"/>
    <cellStyle name="xl23" xfId="9"/>
    <cellStyle name="xl23 2" xfId="10"/>
    <cellStyle name="xl24" xfId="11"/>
    <cellStyle name="xl24 2" xfId="12"/>
    <cellStyle name="xl25" xfId="13"/>
    <cellStyle name="xl25 2" xfId="14"/>
    <cellStyle name="xl26" xfId="15"/>
    <cellStyle name="xl26 2" xfId="16"/>
    <cellStyle name="xl27" xfId="17"/>
    <cellStyle name="xl27 2" xfId="18"/>
    <cellStyle name="xl28" xfId="19"/>
    <cellStyle name="xl28 2" xfId="20"/>
    <cellStyle name="xl29" xfId="21"/>
    <cellStyle name="xl29 2" xfId="22"/>
    <cellStyle name="xl30" xfId="23"/>
    <cellStyle name="xl30 2" xfId="24"/>
    <cellStyle name="xl31" xfId="25"/>
    <cellStyle name="xl31 2" xfId="26"/>
    <cellStyle name="xl32" xfId="27"/>
    <cellStyle name="xl32 2" xfId="28"/>
    <cellStyle name="xl33" xfId="29"/>
    <cellStyle name="xl33 2" xfId="30"/>
    <cellStyle name="xl34" xfId="31"/>
    <cellStyle name="xl34 2" xfId="32"/>
    <cellStyle name="xl35" xfId="33"/>
    <cellStyle name="xl35 2" xfId="34"/>
    <cellStyle name="xl36" xfId="35"/>
    <cellStyle name="xl36 2" xfId="36"/>
    <cellStyle name="xl37" xfId="37"/>
    <cellStyle name="xl37 2" xfId="38"/>
    <cellStyle name="xl38" xfId="39"/>
    <cellStyle name="xl38 2" xfId="40"/>
    <cellStyle name="xl38 3" xfId="70"/>
    <cellStyle name="xl39" xfId="41"/>
    <cellStyle name="xl39 2" xfId="4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H142"/>
  <sheetViews>
    <sheetView view="pageBreakPreview" topLeftCell="A7" zoomScaleNormal="100" zoomScaleSheetLayoutView="100" workbookViewId="0">
      <selection activeCell="J2" sqref="J2"/>
    </sheetView>
  </sheetViews>
  <sheetFormatPr defaultRowHeight="15.75"/>
  <cols>
    <col min="1" max="1" width="16.21875" style="57" customWidth="1"/>
    <col min="2" max="2" width="51.44140625" style="64" customWidth="1"/>
    <col min="3" max="3" width="13.21875" style="58" customWidth="1"/>
    <col min="4" max="4" width="14.44140625" style="53" customWidth="1"/>
    <col min="5" max="5" width="14.6640625" style="53" customWidth="1"/>
    <col min="6" max="6" width="13.33203125" style="53" customWidth="1"/>
    <col min="7" max="7" width="11.21875" style="53" customWidth="1"/>
    <col min="8" max="8" width="12.5546875" style="53" customWidth="1"/>
    <col min="9" max="16384" width="8.88671875" style="53"/>
  </cols>
  <sheetData>
    <row r="1" spans="1:8" ht="121.5" customHeight="1">
      <c r="A1" s="230" t="s">
        <v>1035</v>
      </c>
      <c r="B1" s="230"/>
      <c r="C1" s="230"/>
      <c r="D1" s="230"/>
      <c r="E1" s="230"/>
    </row>
    <row r="2" spans="1:8" s="1" customFormat="1" ht="128.25" customHeight="1">
      <c r="A2" s="230" t="s">
        <v>1393</v>
      </c>
      <c r="B2" s="230"/>
      <c r="C2" s="230"/>
      <c r="D2" s="230"/>
      <c r="E2" s="230"/>
    </row>
    <row r="3" spans="1:8" ht="66" customHeight="1">
      <c r="A3" s="234" t="s">
        <v>1034</v>
      </c>
      <c r="B3" s="234"/>
      <c r="C3" s="234"/>
      <c r="D3" s="234"/>
      <c r="E3" s="234"/>
    </row>
    <row r="4" spans="1:8" ht="30" customHeight="1">
      <c r="A4" s="235" t="s">
        <v>2</v>
      </c>
      <c r="B4" s="235"/>
      <c r="C4" s="235"/>
      <c r="D4" s="235"/>
      <c r="E4" s="235"/>
    </row>
    <row r="5" spans="1:8" ht="27.75" customHeight="1">
      <c r="A5" s="231" t="s">
        <v>46</v>
      </c>
      <c r="B5" s="232" t="s">
        <v>78</v>
      </c>
      <c r="C5" s="236" t="s">
        <v>519</v>
      </c>
      <c r="D5" s="237"/>
      <c r="E5" s="238"/>
    </row>
    <row r="6" spans="1:8" ht="51" customHeight="1">
      <c r="A6" s="231"/>
      <c r="B6" s="233"/>
      <c r="C6" s="96" t="s">
        <v>520</v>
      </c>
      <c r="D6" s="184" t="s">
        <v>936</v>
      </c>
      <c r="E6" s="184" t="s">
        <v>1037</v>
      </c>
    </row>
    <row r="7" spans="1:8" s="73" customFormat="1">
      <c r="A7" s="55" t="s">
        <v>197</v>
      </c>
      <c r="B7" s="75" t="s">
        <v>3</v>
      </c>
      <c r="C7" s="50">
        <f>368249.7-8000+4000+782.4+4000-5000+324.8</f>
        <v>364356.9</v>
      </c>
      <c r="D7" s="50">
        <f>375700.5-8000-1417.6</f>
        <v>366282.9</v>
      </c>
      <c r="E7" s="50">
        <f>356394.4-8000-1417.6</f>
        <v>346976.80000000005</v>
      </c>
      <c r="F7" s="149">
        <f>C8+C14+C20+C27+C33+C38+C48+C59+C66+C70+C78+C104</f>
        <v>364356.89999999997</v>
      </c>
      <c r="G7" s="149">
        <f>D8+D14+D20+D27+D33+D38+D48+D59+D66+D70+D78+D104</f>
        <v>366282.89999999991</v>
      </c>
      <c r="H7" s="149">
        <f>E8+E14+E20+E27+E33+E38+E48+E59+E66+E70+E78+E104</f>
        <v>346976.79999999993</v>
      </c>
    </row>
    <row r="8" spans="1:8" s="73" customFormat="1">
      <c r="A8" s="55" t="s">
        <v>198</v>
      </c>
      <c r="B8" s="75" t="s">
        <v>7</v>
      </c>
      <c r="C8" s="50">
        <f>C9</f>
        <v>150200</v>
      </c>
      <c r="D8" s="50">
        <f t="shared" ref="D8:E8" si="0">D9</f>
        <v>155400</v>
      </c>
      <c r="E8" s="50">
        <f t="shared" si="0"/>
        <v>158100</v>
      </c>
      <c r="F8" s="149">
        <f>C10+C11+C12+C13</f>
        <v>150200</v>
      </c>
      <c r="G8" s="149">
        <f>D10+D11+D12+D13</f>
        <v>155400</v>
      </c>
      <c r="H8" s="149">
        <f>E10+E11+E12+E13</f>
        <v>158100</v>
      </c>
    </row>
    <row r="9" spans="1:8" s="73" customFormat="1" ht="26.25" customHeight="1">
      <c r="A9" s="56" t="s">
        <v>199</v>
      </c>
      <c r="B9" s="76" t="s">
        <v>200</v>
      </c>
      <c r="C9" s="51">
        <f>150200</f>
        <v>150200</v>
      </c>
      <c r="D9" s="98">
        <f>155400</f>
        <v>155400</v>
      </c>
      <c r="E9" s="98">
        <f>158100</f>
        <v>158100</v>
      </c>
      <c r="F9" s="140">
        <f>C11+C12+C13+C10</f>
        <v>150200</v>
      </c>
      <c r="G9" s="140">
        <f>D11+D12+D13+D10</f>
        <v>155400</v>
      </c>
      <c r="H9" s="140">
        <f>E11+E12+E13+E10</f>
        <v>158100</v>
      </c>
    </row>
    <row r="10" spans="1:8" s="73" customFormat="1" ht="91.5" customHeight="1">
      <c r="A10" s="56" t="s">
        <v>164</v>
      </c>
      <c r="B10" s="77" t="s">
        <v>256</v>
      </c>
      <c r="C10" s="51">
        <v>147500</v>
      </c>
      <c r="D10" s="98">
        <v>152500</v>
      </c>
      <c r="E10" s="98">
        <v>155000</v>
      </c>
    </row>
    <row r="11" spans="1:8" s="73" customFormat="1" ht="119.25" customHeight="1">
      <c r="A11" s="56" t="s">
        <v>257</v>
      </c>
      <c r="B11" s="77" t="s">
        <v>258</v>
      </c>
      <c r="C11" s="51">
        <v>1625</v>
      </c>
      <c r="D11" s="98">
        <v>1750</v>
      </c>
      <c r="E11" s="98">
        <v>1875</v>
      </c>
    </row>
    <row r="12" spans="1:8" s="73" customFormat="1" ht="57" customHeight="1">
      <c r="A12" s="72" t="s">
        <v>282</v>
      </c>
      <c r="B12" s="77" t="s">
        <v>283</v>
      </c>
      <c r="C12" s="51">
        <v>700</v>
      </c>
      <c r="D12" s="98">
        <v>750</v>
      </c>
      <c r="E12" s="98">
        <v>800</v>
      </c>
    </row>
    <row r="13" spans="1:8" s="73" customFormat="1" ht="100.5" customHeight="1">
      <c r="A13" s="56" t="s">
        <v>284</v>
      </c>
      <c r="B13" s="77" t="s">
        <v>751</v>
      </c>
      <c r="C13" s="51">
        <v>375</v>
      </c>
      <c r="D13" s="98">
        <v>400</v>
      </c>
      <c r="E13" s="98">
        <v>425</v>
      </c>
    </row>
    <row r="14" spans="1:8" s="73" customFormat="1" ht="59.25" customHeight="1">
      <c r="A14" s="74" t="s">
        <v>285</v>
      </c>
      <c r="B14" s="75" t="s">
        <v>286</v>
      </c>
      <c r="C14" s="50">
        <f>C15</f>
        <v>6347.6</v>
      </c>
      <c r="D14" s="50">
        <f t="shared" ref="D14:E14" si="1">D15</f>
        <v>6347.6</v>
      </c>
      <c r="E14" s="50">
        <f t="shared" si="1"/>
        <v>6347.6</v>
      </c>
      <c r="F14" s="146">
        <f>C16+C17+C18+C19</f>
        <v>6347.6</v>
      </c>
      <c r="G14" s="146">
        <f>D16+D17+D18+D19</f>
        <v>6347.6</v>
      </c>
      <c r="H14" s="146">
        <f>E16+E17+E18+E19</f>
        <v>6347.6</v>
      </c>
    </row>
    <row r="15" spans="1:8" s="73" customFormat="1" ht="55.5" customHeight="1">
      <c r="A15" s="56" t="s">
        <v>287</v>
      </c>
      <c r="B15" s="76" t="s">
        <v>288</v>
      </c>
      <c r="C15" s="51">
        <f>6347.6</f>
        <v>6347.6</v>
      </c>
      <c r="D15" s="98">
        <f>6347.6</f>
        <v>6347.6</v>
      </c>
      <c r="E15" s="98">
        <f>6347.6</f>
        <v>6347.6</v>
      </c>
      <c r="F15" s="147">
        <f>C16+C17+C18+C19</f>
        <v>6347.6</v>
      </c>
      <c r="G15" s="147">
        <f>D16+D17+D18+D19</f>
        <v>6347.6</v>
      </c>
      <c r="H15" s="147">
        <f>E16+E17+E18+E19</f>
        <v>6347.6</v>
      </c>
    </row>
    <row r="16" spans="1:8" s="73" customFormat="1" ht="81.75" customHeight="1">
      <c r="A16" s="56" t="s">
        <v>297</v>
      </c>
      <c r="B16" s="76" t="s">
        <v>298</v>
      </c>
      <c r="C16" s="51">
        <v>2187.4</v>
      </c>
      <c r="D16" s="51">
        <v>2187.4</v>
      </c>
      <c r="E16" s="51">
        <v>2187.4</v>
      </c>
    </row>
    <row r="17" spans="1:8" s="73" customFormat="1" ht="108" customHeight="1">
      <c r="A17" s="56" t="s">
        <v>299</v>
      </c>
      <c r="B17" s="76" t="s">
        <v>300</v>
      </c>
      <c r="C17" s="51">
        <v>18.8</v>
      </c>
      <c r="D17" s="51">
        <v>18.8</v>
      </c>
      <c r="E17" s="51">
        <v>18.8</v>
      </c>
    </row>
    <row r="18" spans="1:8" s="73" customFormat="1" ht="83.25" customHeight="1">
      <c r="A18" s="56" t="s">
        <v>301</v>
      </c>
      <c r="B18" s="76" t="s">
        <v>302</v>
      </c>
      <c r="C18" s="51">
        <v>4560.8999999999996</v>
      </c>
      <c r="D18" s="51">
        <v>4560.8999999999996</v>
      </c>
      <c r="E18" s="51">
        <v>4560.8999999999996</v>
      </c>
    </row>
    <row r="19" spans="1:8" s="73" customFormat="1" ht="89.25" customHeight="1">
      <c r="A19" s="56" t="s">
        <v>521</v>
      </c>
      <c r="B19" s="76" t="s">
        <v>522</v>
      </c>
      <c r="C19" s="51">
        <v>-419.5</v>
      </c>
      <c r="D19" s="51">
        <v>-419.5</v>
      </c>
      <c r="E19" s="51">
        <v>-419.5</v>
      </c>
    </row>
    <row r="20" spans="1:8" s="73" customFormat="1" ht="32.25" customHeight="1">
      <c r="A20" s="55" t="s">
        <v>201</v>
      </c>
      <c r="B20" s="75" t="s">
        <v>8</v>
      </c>
      <c r="C20" s="50">
        <f>46520-791.9+782.4</f>
        <v>46510.5</v>
      </c>
      <c r="D20" s="50">
        <v>48023</v>
      </c>
      <c r="E20" s="50">
        <v>27425</v>
      </c>
      <c r="F20" s="148">
        <f>C21+C23+C25</f>
        <v>46510.5</v>
      </c>
      <c r="G20" s="148">
        <f>D21+D23+D25</f>
        <v>48023</v>
      </c>
      <c r="H20" s="148">
        <f>E21+E23+E25</f>
        <v>27425</v>
      </c>
    </row>
    <row r="21" spans="1:8" s="73" customFormat="1" ht="38.25" customHeight="1">
      <c r="A21" s="56" t="s">
        <v>9</v>
      </c>
      <c r="B21" s="76" t="s">
        <v>20</v>
      </c>
      <c r="C21" s="51">
        <f>37500-791.9</f>
        <v>36708.1</v>
      </c>
      <c r="D21" s="98">
        <f>38000</f>
        <v>38000</v>
      </c>
      <c r="E21" s="98">
        <f>9400</f>
        <v>9400</v>
      </c>
    </row>
    <row r="22" spans="1:8" s="73" customFormat="1" ht="36" customHeight="1">
      <c r="A22" s="56" t="s">
        <v>21</v>
      </c>
      <c r="B22" s="76" t="s">
        <v>20</v>
      </c>
      <c r="C22" s="51">
        <f>37500-791.9</f>
        <v>36708.1</v>
      </c>
      <c r="D22" s="98">
        <v>38000</v>
      </c>
      <c r="E22" s="98">
        <v>9400</v>
      </c>
    </row>
    <row r="23" spans="1:8" s="73" customFormat="1" ht="21" customHeight="1">
      <c r="A23" s="56" t="s">
        <v>10</v>
      </c>
      <c r="B23" s="76" t="s">
        <v>22</v>
      </c>
      <c r="C23" s="51">
        <f>20</f>
        <v>20</v>
      </c>
      <c r="D23" s="98">
        <f>23</f>
        <v>23</v>
      </c>
      <c r="E23" s="98">
        <f>25</f>
        <v>25</v>
      </c>
    </row>
    <row r="24" spans="1:8" s="73" customFormat="1" ht="25.5" customHeight="1">
      <c r="A24" s="56" t="s">
        <v>23</v>
      </c>
      <c r="B24" s="76" t="s">
        <v>22</v>
      </c>
      <c r="C24" s="51">
        <f>20</f>
        <v>20</v>
      </c>
      <c r="D24" s="98">
        <f>23</f>
        <v>23</v>
      </c>
      <c r="E24" s="98">
        <f>25</f>
        <v>25</v>
      </c>
    </row>
    <row r="25" spans="1:8" s="73" customFormat="1" ht="42.75" customHeight="1">
      <c r="A25" s="72" t="s">
        <v>289</v>
      </c>
      <c r="B25" s="76" t="s">
        <v>291</v>
      </c>
      <c r="C25" s="51">
        <f>9000+782.4</f>
        <v>9782.4</v>
      </c>
      <c r="D25" s="98">
        <f>10000</f>
        <v>10000</v>
      </c>
      <c r="E25" s="98">
        <f>18000</f>
        <v>18000</v>
      </c>
    </row>
    <row r="26" spans="1:8" s="73" customFormat="1" ht="45.75" customHeight="1">
      <c r="A26" s="56" t="s">
        <v>290</v>
      </c>
      <c r="B26" s="76" t="s">
        <v>292</v>
      </c>
      <c r="C26" s="51">
        <f>9000+782.4</f>
        <v>9782.4</v>
      </c>
      <c r="D26" s="98">
        <f>10000</f>
        <v>10000</v>
      </c>
      <c r="E26" s="98">
        <f>18000</f>
        <v>18000</v>
      </c>
    </row>
    <row r="27" spans="1:8" s="73" customFormat="1" ht="24.75" customHeight="1">
      <c r="A27" s="55" t="s">
        <v>202</v>
      </c>
      <c r="B27" s="75" t="s">
        <v>11</v>
      </c>
      <c r="C27" s="50">
        <f>96700</f>
        <v>96700</v>
      </c>
      <c r="D27" s="50">
        <f>98800</f>
        <v>98800</v>
      </c>
      <c r="E27" s="50">
        <f>99700</f>
        <v>99700</v>
      </c>
      <c r="F27" s="153">
        <f>C28+C30</f>
        <v>96700</v>
      </c>
      <c r="G27" s="153">
        <f>D28+D30</f>
        <v>98800</v>
      </c>
      <c r="H27" s="153">
        <f>E28+E30</f>
        <v>99700</v>
      </c>
    </row>
    <row r="28" spans="1:8" s="73" customFormat="1" ht="24" customHeight="1">
      <c r="A28" s="56" t="s">
        <v>203</v>
      </c>
      <c r="B28" s="76" t="s">
        <v>204</v>
      </c>
      <c r="C28" s="51">
        <f>C29</f>
        <v>12500</v>
      </c>
      <c r="D28" s="51">
        <f t="shared" ref="D28:E28" si="2">D29</f>
        <v>13500</v>
      </c>
      <c r="E28" s="51">
        <f t="shared" si="2"/>
        <v>13800</v>
      </c>
    </row>
    <row r="29" spans="1:8" s="73" customFormat="1" ht="48.75" customHeight="1">
      <c r="A29" s="56" t="s">
        <v>25</v>
      </c>
      <c r="B29" s="76" t="s">
        <v>24</v>
      </c>
      <c r="C29" s="51">
        <f>12500</f>
        <v>12500</v>
      </c>
      <c r="D29" s="98">
        <f>13500</f>
        <v>13500</v>
      </c>
      <c r="E29" s="98">
        <f>13800</f>
        <v>13800</v>
      </c>
    </row>
    <row r="30" spans="1:8" s="73" customFormat="1" ht="24.75" customHeight="1">
      <c r="A30" s="56" t="s">
        <v>205</v>
      </c>
      <c r="B30" s="76" t="s">
        <v>206</v>
      </c>
      <c r="C30" s="51">
        <f>84200</f>
        <v>84200</v>
      </c>
      <c r="D30" s="98">
        <f>85300</f>
        <v>85300</v>
      </c>
      <c r="E30" s="98">
        <f>85900</f>
        <v>85900</v>
      </c>
      <c r="F30" s="91">
        <f>C31+C32</f>
        <v>84200</v>
      </c>
      <c r="G30" s="91">
        <f>D31+D32</f>
        <v>85300</v>
      </c>
      <c r="H30" s="91">
        <f>E31+E32</f>
        <v>85900</v>
      </c>
    </row>
    <row r="31" spans="1:8" s="73" customFormat="1" ht="47.25" customHeight="1">
      <c r="A31" s="56" t="s">
        <v>345</v>
      </c>
      <c r="B31" s="76" t="s">
        <v>335</v>
      </c>
      <c r="C31" s="51">
        <f>65000</f>
        <v>65000</v>
      </c>
      <c r="D31" s="98">
        <f>66000</f>
        <v>66000</v>
      </c>
      <c r="E31" s="98">
        <f>66500</f>
        <v>66500</v>
      </c>
    </row>
    <row r="32" spans="1:8" s="73" customFormat="1" ht="52.5" customHeight="1">
      <c r="A32" s="56" t="s">
        <v>334</v>
      </c>
      <c r="B32" s="76" t="s">
        <v>336</v>
      </c>
      <c r="C32" s="51">
        <f>19200</f>
        <v>19200</v>
      </c>
      <c r="D32" s="98">
        <f>19300</f>
        <v>19300</v>
      </c>
      <c r="E32" s="98">
        <f>19400</f>
        <v>19400</v>
      </c>
    </row>
    <row r="33" spans="1:8" s="73" customFormat="1" ht="24" customHeight="1">
      <c r="A33" s="55" t="s">
        <v>207</v>
      </c>
      <c r="B33" s="75" t="s">
        <v>12</v>
      </c>
      <c r="C33" s="50">
        <f>7890</f>
        <v>7890</v>
      </c>
      <c r="D33" s="50">
        <f>7940</f>
        <v>7940</v>
      </c>
      <c r="E33" s="50">
        <f>8040</f>
        <v>8040</v>
      </c>
      <c r="F33" s="153">
        <f>C34+C36</f>
        <v>7890</v>
      </c>
      <c r="G33" s="153">
        <f>D34+D36</f>
        <v>7940</v>
      </c>
      <c r="H33" s="153">
        <f>E34+E36</f>
        <v>8040</v>
      </c>
    </row>
    <row r="34" spans="1:8" s="73" customFormat="1" ht="53.25" customHeight="1">
      <c r="A34" s="56" t="s">
        <v>208</v>
      </c>
      <c r="B34" s="76" t="s">
        <v>209</v>
      </c>
      <c r="C34" s="51">
        <f>C35</f>
        <v>7850</v>
      </c>
      <c r="D34" s="51">
        <f t="shared" ref="D34:E34" si="3">D35</f>
        <v>7900</v>
      </c>
      <c r="E34" s="51">
        <f t="shared" si="3"/>
        <v>8000</v>
      </c>
    </row>
    <row r="35" spans="1:8" s="73" customFormat="1" ht="63.75" customHeight="1">
      <c r="A35" s="56" t="s">
        <v>170</v>
      </c>
      <c r="B35" s="76" t="s">
        <v>26</v>
      </c>
      <c r="C35" s="51">
        <f>7850</f>
        <v>7850</v>
      </c>
      <c r="D35" s="98">
        <f>7900</f>
        <v>7900</v>
      </c>
      <c r="E35" s="98">
        <f>8000</f>
        <v>8000</v>
      </c>
    </row>
    <row r="36" spans="1:8" s="73" customFormat="1" ht="49.5" customHeight="1">
      <c r="A36" s="56" t="s">
        <v>210</v>
      </c>
      <c r="B36" s="76" t="s">
        <v>211</v>
      </c>
      <c r="C36" s="51">
        <f>C37</f>
        <v>40</v>
      </c>
      <c r="D36" s="51">
        <f t="shared" ref="D36:E36" si="4">D37</f>
        <v>40</v>
      </c>
      <c r="E36" s="51">
        <f t="shared" si="4"/>
        <v>40</v>
      </c>
    </row>
    <row r="37" spans="1:8" s="73" customFormat="1" ht="51.75" customHeight="1">
      <c r="A37" s="56" t="s">
        <v>184</v>
      </c>
      <c r="B37" s="76" t="s">
        <v>183</v>
      </c>
      <c r="C37" s="51">
        <f>40</f>
        <v>40</v>
      </c>
      <c r="D37" s="51">
        <f>40</f>
        <v>40</v>
      </c>
      <c r="E37" s="51">
        <f>40</f>
        <v>40</v>
      </c>
    </row>
    <row r="38" spans="1:8" s="73" customFormat="1" ht="51.75" hidden="1" customHeight="1">
      <c r="A38" s="55" t="s">
        <v>769</v>
      </c>
      <c r="B38" s="75" t="s">
        <v>770</v>
      </c>
      <c r="C38" s="50"/>
      <c r="D38" s="50"/>
      <c r="E38" s="50"/>
      <c r="F38" s="153">
        <f>C39+C41+C44+C46</f>
        <v>0</v>
      </c>
      <c r="G38" s="153">
        <f t="shared" ref="G38:H38" si="5">D39+D41+D44+D46</f>
        <v>0</v>
      </c>
      <c r="H38" s="153">
        <f t="shared" si="5"/>
        <v>0</v>
      </c>
    </row>
    <row r="39" spans="1:8" s="73" customFormat="1" ht="51.75" hidden="1" customHeight="1">
      <c r="A39" s="56" t="s">
        <v>771</v>
      </c>
      <c r="B39" s="76" t="s">
        <v>772</v>
      </c>
      <c r="C39" s="51"/>
      <c r="D39" s="51">
        <v>0</v>
      </c>
      <c r="E39" s="51">
        <v>0</v>
      </c>
    </row>
    <row r="40" spans="1:8" s="73" customFormat="1" ht="51.75" hidden="1" customHeight="1">
      <c r="A40" s="56" t="s">
        <v>765</v>
      </c>
      <c r="B40" s="76" t="s">
        <v>761</v>
      </c>
      <c r="C40" s="51"/>
      <c r="D40" s="51">
        <v>0</v>
      </c>
      <c r="E40" s="51">
        <v>0</v>
      </c>
    </row>
    <row r="41" spans="1:8" s="73" customFormat="1" ht="36.75" hidden="1" customHeight="1">
      <c r="A41" s="56" t="s">
        <v>773</v>
      </c>
      <c r="B41" s="76" t="s">
        <v>774</v>
      </c>
      <c r="C41" s="51"/>
      <c r="D41" s="51"/>
      <c r="E41" s="51"/>
    </row>
    <row r="42" spans="1:8" s="73" customFormat="1" ht="40.5" hidden="1" customHeight="1">
      <c r="A42" s="56" t="s">
        <v>766</v>
      </c>
      <c r="B42" s="76" t="s">
        <v>762</v>
      </c>
      <c r="C42" s="51"/>
      <c r="D42" s="51"/>
      <c r="E42" s="51"/>
    </row>
    <row r="43" spans="1:8" s="73" customFormat="1" ht="40.5" hidden="1" customHeight="1">
      <c r="A43" s="56" t="s">
        <v>1009</v>
      </c>
      <c r="B43" s="76" t="s">
        <v>1010</v>
      </c>
      <c r="C43" s="51"/>
      <c r="D43" s="51"/>
      <c r="E43" s="51"/>
    </row>
    <row r="44" spans="1:8" s="73" customFormat="1" ht="38.25" hidden="1" customHeight="1">
      <c r="A44" s="56" t="s">
        <v>775</v>
      </c>
      <c r="B44" s="76" t="s">
        <v>776</v>
      </c>
      <c r="C44" s="51"/>
      <c r="D44" s="51">
        <v>0</v>
      </c>
      <c r="E44" s="51">
        <v>0</v>
      </c>
    </row>
    <row r="45" spans="1:8" s="73" customFormat="1" ht="35.25" hidden="1" customHeight="1">
      <c r="A45" s="56" t="s">
        <v>767</v>
      </c>
      <c r="B45" s="76" t="s">
        <v>763</v>
      </c>
      <c r="C45" s="51"/>
      <c r="D45" s="51">
        <v>0</v>
      </c>
      <c r="E45" s="51">
        <v>0</v>
      </c>
    </row>
    <row r="46" spans="1:8" s="73" customFormat="1" ht="41.25" hidden="1" customHeight="1">
      <c r="A46" s="56" t="s">
        <v>777</v>
      </c>
      <c r="B46" s="76" t="s">
        <v>778</v>
      </c>
      <c r="C46" s="51"/>
      <c r="D46" s="51">
        <v>0</v>
      </c>
      <c r="E46" s="51">
        <v>0</v>
      </c>
    </row>
    <row r="47" spans="1:8" s="73" customFormat="1" ht="66.75" hidden="1" customHeight="1">
      <c r="A47" s="56" t="s">
        <v>768</v>
      </c>
      <c r="B47" s="76" t="s">
        <v>764</v>
      </c>
      <c r="C47" s="51"/>
      <c r="D47" s="51">
        <v>0</v>
      </c>
      <c r="E47" s="51">
        <v>0</v>
      </c>
    </row>
    <row r="48" spans="1:8" s="73" customFormat="1" ht="66.75" customHeight="1">
      <c r="A48" s="55" t="s">
        <v>212</v>
      </c>
      <c r="B48" s="75" t="s">
        <v>13</v>
      </c>
      <c r="C48" s="50">
        <f>39276.2-1000</f>
        <v>38276.199999999997</v>
      </c>
      <c r="D48" s="50">
        <f>37414.6</f>
        <v>37414.6</v>
      </c>
      <c r="E48" s="50">
        <f>34895.6</f>
        <v>34895.599999999999</v>
      </c>
      <c r="F48" s="151">
        <f>C49+C54+C57</f>
        <v>38276.199999999997</v>
      </c>
      <c r="G48" s="151">
        <f>D49+D54+D57</f>
        <v>37414.6</v>
      </c>
      <c r="H48" s="151">
        <f>E49+E54+E57</f>
        <v>34895.599999999999</v>
      </c>
    </row>
    <row r="49" spans="1:8" s="73" customFormat="1" ht="94.5" customHeight="1">
      <c r="A49" s="56" t="s">
        <v>213</v>
      </c>
      <c r="B49" s="76" t="s">
        <v>14</v>
      </c>
      <c r="C49" s="51">
        <f>29000</f>
        <v>29000</v>
      </c>
      <c r="D49" s="51">
        <f>28500</f>
        <v>28500</v>
      </c>
      <c r="E49" s="51">
        <f>26000</f>
        <v>26000</v>
      </c>
      <c r="F49" s="152">
        <f>C50+C52</f>
        <v>29000</v>
      </c>
      <c r="G49" s="152">
        <f>D50+D52</f>
        <v>28500</v>
      </c>
      <c r="H49" s="152">
        <f>E50+E52</f>
        <v>26000</v>
      </c>
    </row>
    <row r="50" spans="1:8" s="73" customFormat="1" ht="72.75" customHeight="1">
      <c r="A50" s="56" t="s">
        <v>303</v>
      </c>
      <c r="B50" s="77" t="s">
        <v>304</v>
      </c>
      <c r="C50" s="51">
        <f>C51</f>
        <v>27000</v>
      </c>
      <c r="D50" s="51">
        <f t="shared" ref="D50:E50" si="6">D51</f>
        <v>27000</v>
      </c>
      <c r="E50" s="51">
        <f t="shared" si="6"/>
        <v>25000</v>
      </c>
    </row>
    <row r="51" spans="1:8" s="73" customFormat="1" ht="93" customHeight="1">
      <c r="A51" s="56" t="s">
        <v>189</v>
      </c>
      <c r="B51" s="76" t="s">
        <v>188</v>
      </c>
      <c r="C51" s="51">
        <v>27000</v>
      </c>
      <c r="D51" s="98">
        <v>27000</v>
      </c>
      <c r="E51" s="98">
        <v>25000</v>
      </c>
    </row>
    <row r="52" spans="1:8" s="73" customFormat="1" ht="90" customHeight="1">
      <c r="A52" s="72" t="s">
        <v>305</v>
      </c>
      <c r="B52" s="77" t="s">
        <v>306</v>
      </c>
      <c r="C52" s="51">
        <f>C53</f>
        <v>2000</v>
      </c>
      <c r="D52" s="51">
        <f t="shared" ref="D52:E52" si="7">D53</f>
        <v>1500</v>
      </c>
      <c r="E52" s="51">
        <f t="shared" si="7"/>
        <v>1000</v>
      </c>
    </row>
    <row r="53" spans="1:8" s="73" customFormat="1" ht="78" customHeight="1">
      <c r="A53" s="56" t="s">
        <v>179</v>
      </c>
      <c r="B53" s="76" t="s">
        <v>27</v>
      </c>
      <c r="C53" s="51">
        <v>2000</v>
      </c>
      <c r="D53" s="98">
        <v>1500</v>
      </c>
      <c r="E53" s="98">
        <v>1000</v>
      </c>
    </row>
    <row r="54" spans="1:8" s="73" customFormat="1" ht="39" customHeight="1">
      <c r="A54" s="56" t="s">
        <v>214</v>
      </c>
      <c r="B54" s="76" t="s">
        <v>215</v>
      </c>
      <c r="C54" s="51">
        <f>C55</f>
        <v>3188</v>
      </c>
      <c r="D54" s="51">
        <f t="shared" ref="D54:E55" si="8">D55</f>
        <v>3244</v>
      </c>
      <c r="E54" s="51">
        <f t="shared" si="8"/>
        <v>3225</v>
      </c>
    </row>
    <row r="55" spans="1:8" s="73" customFormat="1" ht="47.25">
      <c r="A55" s="72" t="s">
        <v>307</v>
      </c>
      <c r="B55" s="76" t="s">
        <v>308</v>
      </c>
      <c r="C55" s="51">
        <f>C56</f>
        <v>3188</v>
      </c>
      <c r="D55" s="51">
        <f t="shared" si="8"/>
        <v>3244</v>
      </c>
      <c r="E55" s="51">
        <f t="shared" si="8"/>
        <v>3225</v>
      </c>
    </row>
    <row r="56" spans="1:8" s="73" customFormat="1" ht="70.5" customHeight="1">
      <c r="A56" s="56" t="s">
        <v>185</v>
      </c>
      <c r="B56" s="76" t="s">
        <v>77</v>
      </c>
      <c r="C56" s="51">
        <v>3188</v>
      </c>
      <c r="D56" s="51">
        <v>3244</v>
      </c>
      <c r="E56" s="51">
        <v>3225</v>
      </c>
    </row>
    <row r="57" spans="1:8" s="73" customFormat="1" ht="84" customHeight="1">
      <c r="A57" s="56" t="s">
        <v>216</v>
      </c>
      <c r="B57" s="76" t="s">
        <v>15</v>
      </c>
      <c r="C57" s="51">
        <f>C58</f>
        <v>6088.2</v>
      </c>
      <c r="D57" s="51">
        <f t="shared" ref="D57:E57" si="9">D58</f>
        <v>5670.6</v>
      </c>
      <c r="E57" s="51">
        <f t="shared" si="9"/>
        <v>5670.6</v>
      </c>
    </row>
    <row r="58" spans="1:8" s="73" customFormat="1" ht="79.5" customHeight="1">
      <c r="A58" s="56" t="s">
        <v>180</v>
      </c>
      <c r="B58" s="76" t="s">
        <v>28</v>
      </c>
      <c r="C58" s="51">
        <f>7088.2-1000</f>
        <v>6088.2</v>
      </c>
      <c r="D58" s="51">
        <v>5670.6</v>
      </c>
      <c r="E58" s="51">
        <v>5670.6</v>
      </c>
    </row>
    <row r="59" spans="1:8" s="73" customFormat="1" ht="31.5">
      <c r="A59" s="55" t="s">
        <v>217</v>
      </c>
      <c r="B59" s="75" t="s">
        <v>16</v>
      </c>
      <c r="C59" s="50">
        <f>669.2</f>
        <v>669.2</v>
      </c>
      <c r="D59" s="50">
        <f>702.7</f>
        <v>702.7</v>
      </c>
      <c r="E59" s="50">
        <v>737.8</v>
      </c>
      <c r="F59" s="150">
        <f>C61+C62+C63+C64+C65</f>
        <v>669.19999999999993</v>
      </c>
      <c r="G59" s="150">
        <f t="shared" ref="G59:H59" si="10">D61+D62+D63+D64+D65</f>
        <v>702.7</v>
      </c>
      <c r="H59" s="150">
        <f t="shared" si="10"/>
        <v>737.8</v>
      </c>
    </row>
    <row r="60" spans="1:8" s="73" customFormat="1" ht="36.75" customHeight="1">
      <c r="A60" s="121" t="s">
        <v>161</v>
      </c>
      <c r="B60" s="76" t="s">
        <v>160</v>
      </c>
      <c r="C60" s="51">
        <f>C61+C63+C65</f>
        <v>669.19999999999993</v>
      </c>
      <c r="D60" s="51">
        <f t="shared" ref="D60:E60" si="11">D61+D63+D65</f>
        <v>702.7</v>
      </c>
      <c r="E60" s="51">
        <f t="shared" si="11"/>
        <v>737.8</v>
      </c>
    </row>
    <row r="61" spans="1:8" s="73" customFormat="1" ht="52.5" customHeight="1">
      <c r="A61" s="56" t="s">
        <v>259</v>
      </c>
      <c r="B61" s="76" t="s">
        <v>260</v>
      </c>
      <c r="C61" s="51">
        <f>169.6</f>
        <v>169.6</v>
      </c>
      <c r="D61" s="98">
        <f>178.1</f>
        <v>178.1</v>
      </c>
      <c r="E61" s="98">
        <f>187</f>
        <v>187</v>
      </c>
    </row>
    <row r="62" spans="1:8" s="73" customFormat="1" ht="36.75" hidden="1" customHeight="1">
      <c r="A62" s="56" t="s">
        <v>759</v>
      </c>
      <c r="B62" s="76" t="s">
        <v>760</v>
      </c>
      <c r="C62" s="51"/>
      <c r="D62" s="51"/>
      <c r="E62" s="51"/>
    </row>
    <row r="63" spans="1:8" s="73" customFormat="1" ht="39.75" customHeight="1">
      <c r="A63" s="56" t="s">
        <v>261</v>
      </c>
      <c r="B63" s="76" t="s">
        <v>262</v>
      </c>
      <c r="C63" s="51">
        <v>318.7</v>
      </c>
      <c r="D63" s="99">
        <v>334.6</v>
      </c>
      <c r="E63" s="99">
        <v>351.3</v>
      </c>
    </row>
    <row r="64" spans="1:8" s="73" customFormat="1" ht="41.25" hidden="1" customHeight="1">
      <c r="A64" s="56" t="s">
        <v>263</v>
      </c>
      <c r="B64" s="76" t="s">
        <v>264</v>
      </c>
      <c r="C64" s="51"/>
      <c r="D64" s="99"/>
      <c r="E64" s="99"/>
    </row>
    <row r="65" spans="1:8" s="73" customFormat="1" ht="67.5" customHeight="1">
      <c r="A65" s="56" t="s">
        <v>1021</v>
      </c>
      <c r="B65" s="76" t="s">
        <v>1020</v>
      </c>
      <c r="C65" s="51">
        <v>180.9</v>
      </c>
      <c r="D65" s="51">
        <v>190</v>
      </c>
      <c r="E65" s="51">
        <v>199.5</v>
      </c>
    </row>
    <row r="66" spans="1:8" s="73" customFormat="1" ht="59.25" customHeight="1">
      <c r="A66" s="55" t="s">
        <v>218</v>
      </c>
      <c r="B66" s="75" t="s">
        <v>17</v>
      </c>
      <c r="C66" s="50">
        <f>1999.6</f>
        <v>1999.6</v>
      </c>
      <c r="D66" s="100">
        <f>2078.3</f>
        <v>2078.3000000000002</v>
      </c>
      <c r="E66" s="100">
        <f>2078.3</f>
        <v>2078.3000000000002</v>
      </c>
      <c r="F66" s="150">
        <f>C68+C69</f>
        <v>1999.6</v>
      </c>
      <c r="G66" s="150">
        <f>D68+D69</f>
        <v>2078.3000000000002</v>
      </c>
      <c r="H66" s="150">
        <f>E68+E69</f>
        <v>2078.3000000000002</v>
      </c>
    </row>
    <row r="67" spans="1:8" s="73" customFormat="1" ht="39.75" customHeight="1">
      <c r="A67" s="56" t="s">
        <v>219</v>
      </c>
      <c r="B67" s="76" t="s">
        <v>18</v>
      </c>
      <c r="C67" s="51">
        <f>C68</f>
        <v>1999.6</v>
      </c>
      <c r="D67" s="51">
        <f t="shared" ref="D67:E67" si="12">D68</f>
        <v>2078.3000000000002</v>
      </c>
      <c r="E67" s="51">
        <f t="shared" si="12"/>
        <v>2078.3000000000002</v>
      </c>
    </row>
    <row r="68" spans="1:8" s="73" customFormat="1" ht="54" customHeight="1">
      <c r="A68" s="56" t="s">
        <v>182</v>
      </c>
      <c r="B68" s="76" t="s">
        <v>181</v>
      </c>
      <c r="C68" s="51">
        <v>1999.6</v>
      </c>
      <c r="D68" s="98">
        <v>2078.3000000000002</v>
      </c>
      <c r="E68" s="98">
        <v>2078.3000000000002</v>
      </c>
    </row>
    <row r="69" spans="1:8" s="73" customFormat="1" ht="51" hidden="1" customHeight="1">
      <c r="A69" s="56" t="s">
        <v>925</v>
      </c>
      <c r="B69" s="76" t="s">
        <v>926</v>
      </c>
      <c r="C69" s="51"/>
      <c r="D69" s="139"/>
      <c r="E69" s="139"/>
    </row>
    <row r="70" spans="1:8" s="73" customFormat="1" ht="59.25" customHeight="1">
      <c r="A70" s="55" t="s">
        <v>220</v>
      </c>
      <c r="B70" s="75" t="s">
        <v>19</v>
      </c>
      <c r="C70" s="50">
        <f>5000+8000-4000</f>
        <v>9000</v>
      </c>
      <c r="D70" s="50">
        <f>4000</f>
        <v>4000</v>
      </c>
      <c r="E70" s="50">
        <f>4000</f>
        <v>4000</v>
      </c>
      <c r="F70" s="150">
        <f>C73+C75+C71</f>
        <v>9000</v>
      </c>
      <c r="G70" s="150">
        <f t="shared" ref="G70:H70" si="13">D73+D75+D71</f>
        <v>4000</v>
      </c>
      <c r="H70" s="150">
        <f t="shared" si="13"/>
        <v>4000</v>
      </c>
    </row>
    <row r="71" spans="1:8" s="73" customFormat="1" ht="59.25" hidden="1" customHeight="1">
      <c r="A71" s="56" t="s">
        <v>992</v>
      </c>
      <c r="B71" s="76" t="s">
        <v>993</v>
      </c>
      <c r="C71" s="51"/>
      <c r="D71" s="51"/>
      <c r="E71" s="51"/>
      <c r="F71" s="141"/>
      <c r="G71" s="141"/>
      <c r="H71" s="141"/>
    </row>
    <row r="72" spans="1:8" s="73" customFormat="1" ht="59.25" hidden="1" customHeight="1">
      <c r="A72" s="56" t="s">
        <v>994</v>
      </c>
      <c r="B72" s="76" t="s">
        <v>995</v>
      </c>
      <c r="C72" s="51"/>
      <c r="D72" s="51"/>
      <c r="E72" s="51"/>
      <c r="F72" s="141"/>
      <c r="G72" s="141"/>
      <c r="H72" s="141"/>
    </row>
    <row r="73" spans="1:8" s="73" customFormat="1" ht="91.5" customHeight="1">
      <c r="A73" s="56" t="s">
        <v>996</v>
      </c>
      <c r="B73" s="76" t="s">
        <v>154</v>
      </c>
      <c r="C73" s="51">
        <f>C74</f>
        <v>4000</v>
      </c>
      <c r="D73" s="51">
        <f t="shared" ref="D73:E73" si="14">D74</f>
        <v>0</v>
      </c>
      <c r="E73" s="51">
        <f t="shared" si="14"/>
        <v>0</v>
      </c>
    </row>
    <row r="74" spans="1:8" s="73" customFormat="1" ht="103.5" customHeight="1">
      <c r="A74" s="56" t="s">
        <v>191</v>
      </c>
      <c r="B74" s="76" t="s">
        <v>150</v>
      </c>
      <c r="C74" s="51">
        <f>8000-4000</f>
        <v>4000</v>
      </c>
      <c r="D74" s="101">
        <v>0</v>
      </c>
      <c r="E74" s="101">
        <v>0</v>
      </c>
    </row>
    <row r="75" spans="1:8" s="73" customFormat="1" ht="54" customHeight="1">
      <c r="A75" s="56" t="s">
        <v>155</v>
      </c>
      <c r="B75" s="76" t="s">
        <v>349</v>
      </c>
      <c r="C75" s="51">
        <f>C76</f>
        <v>5000</v>
      </c>
      <c r="D75" s="51">
        <f t="shared" ref="D75:E75" si="15">D76</f>
        <v>4000</v>
      </c>
      <c r="E75" s="51">
        <f t="shared" si="15"/>
        <v>4000</v>
      </c>
    </row>
    <row r="76" spans="1:8" s="73" customFormat="1" ht="53.25" customHeight="1">
      <c r="A76" s="56" t="s">
        <v>193</v>
      </c>
      <c r="B76" s="76" t="s">
        <v>192</v>
      </c>
      <c r="C76" s="51">
        <v>5000</v>
      </c>
      <c r="D76" s="98">
        <v>4000</v>
      </c>
      <c r="E76" s="98">
        <v>4000</v>
      </c>
    </row>
    <row r="77" spans="1:8" s="73" customFormat="1" ht="45" hidden="1" customHeight="1">
      <c r="A77" s="56" t="s">
        <v>932</v>
      </c>
      <c r="B77" s="76" t="s">
        <v>933</v>
      </c>
      <c r="C77" s="51"/>
      <c r="D77" s="101"/>
      <c r="E77" s="101"/>
    </row>
    <row r="78" spans="1:8" s="73" customFormat="1" ht="45" customHeight="1">
      <c r="A78" s="55" t="s">
        <v>221</v>
      </c>
      <c r="B78" s="75" t="s">
        <v>151</v>
      </c>
      <c r="C78" s="50">
        <f>3605.6</f>
        <v>3605.6</v>
      </c>
      <c r="D78" s="50">
        <f>3571.6</f>
        <v>3571.6</v>
      </c>
      <c r="E78" s="50">
        <f>3640.4</f>
        <v>3640.4</v>
      </c>
      <c r="F78" s="150">
        <f>C79+C82+C83+C86+C88+C92+C95+C96+C98+C100+C101+C102+C90</f>
        <v>3605.5999999999995</v>
      </c>
      <c r="G78" s="150">
        <f>D79+D82+D83+D86+D88+D92+D95+D96+D98+D100+D101+D102</f>
        <v>3571.6000000000004</v>
      </c>
      <c r="H78" s="150">
        <f>E79+E82+E83+E86+E88+E92+E95+E96+E98+E100+E101+E102</f>
        <v>3640.3999999999996</v>
      </c>
    </row>
    <row r="79" spans="1:8" s="73" customFormat="1" ht="46.5" customHeight="1">
      <c r="A79" s="56" t="s">
        <v>222</v>
      </c>
      <c r="B79" s="76" t="s">
        <v>223</v>
      </c>
      <c r="C79" s="51">
        <f>320</f>
        <v>320</v>
      </c>
      <c r="D79" s="98">
        <f>332.5</f>
        <v>332.5</v>
      </c>
      <c r="E79" s="98">
        <v>360</v>
      </c>
      <c r="F79" s="141">
        <f>C80+C81</f>
        <v>320</v>
      </c>
      <c r="G79" s="141">
        <f>D80+D81</f>
        <v>332.5</v>
      </c>
      <c r="H79" s="141">
        <f>E80+E81</f>
        <v>360</v>
      </c>
    </row>
    <row r="80" spans="1:8" s="73" customFormat="1" ht="90" customHeight="1">
      <c r="A80" s="56" t="s">
        <v>171</v>
      </c>
      <c r="B80" s="76" t="s">
        <v>350</v>
      </c>
      <c r="C80" s="51">
        <f>240</f>
        <v>240</v>
      </c>
      <c r="D80" s="98">
        <f>250</f>
        <v>250</v>
      </c>
      <c r="E80" s="98">
        <f>275</f>
        <v>275</v>
      </c>
    </row>
    <row r="81" spans="1:8" s="73" customFormat="1" ht="79.5" customHeight="1">
      <c r="A81" s="56" t="s">
        <v>173</v>
      </c>
      <c r="B81" s="76" t="s">
        <v>172</v>
      </c>
      <c r="C81" s="51">
        <f>80</f>
        <v>80</v>
      </c>
      <c r="D81" s="98">
        <f>82.5</f>
        <v>82.5</v>
      </c>
      <c r="E81" s="98">
        <f>85</f>
        <v>85</v>
      </c>
    </row>
    <row r="82" spans="1:8" s="73" customFormat="1" ht="81" customHeight="1">
      <c r="A82" s="72" t="s">
        <v>293</v>
      </c>
      <c r="B82" s="76" t="s">
        <v>294</v>
      </c>
      <c r="C82" s="51">
        <f>100</f>
        <v>100</v>
      </c>
      <c r="D82" s="98">
        <f>110</f>
        <v>110</v>
      </c>
      <c r="E82" s="98">
        <f>120</f>
        <v>120</v>
      </c>
    </row>
    <row r="83" spans="1:8" s="73" customFormat="1" ht="83.25" customHeight="1">
      <c r="A83" s="72" t="s">
        <v>320</v>
      </c>
      <c r="B83" s="76" t="s">
        <v>321</v>
      </c>
      <c r="C83" s="51">
        <f>167.3</f>
        <v>167.3</v>
      </c>
      <c r="D83" s="98">
        <f>158.2</f>
        <v>158.19999999999999</v>
      </c>
      <c r="E83" s="98">
        <f>162.9</f>
        <v>162.9</v>
      </c>
      <c r="F83" s="141">
        <f>C84+C85</f>
        <v>167.3</v>
      </c>
      <c r="G83" s="141">
        <f>D84+D85</f>
        <v>158.20000000000002</v>
      </c>
      <c r="H83" s="141">
        <f>E84+E85</f>
        <v>162.9</v>
      </c>
    </row>
    <row r="84" spans="1:8" s="73" customFormat="1" ht="75" customHeight="1">
      <c r="A84" s="72" t="s">
        <v>322</v>
      </c>
      <c r="B84" s="76" t="s">
        <v>810</v>
      </c>
      <c r="C84" s="51">
        <f>140.5</f>
        <v>140.5</v>
      </c>
      <c r="D84" s="98">
        <f>138.3</f>
        <v>138.30000000000001</v>
      </c>
      <c r="E84" s="98">
        <f>136.4</f>
        <v>136.4</v>
      </c>
    </row>
    <row r="85" spans="1:8" s="73" customFormat="1" ht="58.5" customHeight="1">
      <c r="A85" s="72" t="s">
        <v>337</v>
      </c>
      <c r="B85" s="76" t="s">
        <v>338</v>
      </c>
      <c r="C85" s="51">
        <f>26.8</f>
        <v>26.8</v>
      </c>
      <c r="D85" s="99">
        <f>19.9</f>
        <v>19.899999999999999</v>
      </c>
      <c r="E85" s="99">
        <f>26.5</f>
        <v>26.5</v>
      </c>
    </row>
    <row r="86" spans="1:8" s="73" customFormat="1" ht="43.5" hidden="1" customHeight="1">
      <c r="A86" s="72" t="s">
        <v>823</v>
      </c>
      <c r="B86" s="76" t="s">
        <v>825</v>
      </c>
      <c r="C86" s="51"/>
      <c r="D86" s="51"/>
      <c r="E86" s="51"/>
    </row>
    <row r="87" spans="1:8" s="73" customFormat="1" ht="39" hidden="1" customHeight="1">
      <c r="A87" s="72" t="s">
        <v>823</v>
      </c>
      <c r="B87" s="76" t="s">
        <v>822</v>
      </c>
      <c r="C87" s="51"/>
      <c r="D87" s="101"/>
      <c r="E87" s="101"/>
    </row>
    <row r="88" spans="1:8" s="73" customFormat="1" ht="55.5" customHeight="1">
      <c r="A88" s="72" t="s">
        <v>801</v>
      </c>
      <c r="B88" s="76" t="s">
        <v>802</v>
      </c>
      <c r="C88" s="51">
        <f>C89</f>
        <v>126.6</v>
      </c>
      <c r="D88" s="51">
        <f t="shared" ref="D88:E88" si="16">D89</f>
        <v>105.3</v>
      </c>
      <c r="E88" s="51">
        <f t="shared" si="16"/>
        <v>117.3</v>
      </c>
    </row>
    <row r="89" spans="1:8" s="73" customFormat="1" ht="55.5" customHeight="1">
      <c r="A89" s="72" t="s">
        <v>799</v>
      </c>
      <c r="B89" s="76" t="s">
        <v>800</v>
      </c>
      <c r="C89" s="51">
        <f>126.6</f>
        <v>126.6</v>
      </c>
      <c r="D89" s="101">
        <f>105.3</f>
        <v>105.3</v>
      </c>
      <c r="E89" s="101">
        <f>117.3</f>
        <v>117.3</v>
      </c>
    </row>
    <row r="90" spans="1:8" s="73" customFormat="1" ht="55.5" hidden="1" customHeight="1">
      <c r="A90" s="72" t="s">
        <v>1011</v>
      </c>
      <c r="B90" s="76" t="s">
        <v>1012</v>
      </c>
      <c r="C90" s="51"/>
      <c r="D90" s="51"/>
      <c r="E90" s="51"/>
    </row>
    <row r="91" spans="1:8" s="73" customFormat="1" ht="77.25" hidden="1" customHeight="1">
      <c r="A91" s="72" t="s">
        <v>1013</v>
      </c>
      <c r="B91" s="76" t="s">
        <v>1014</v>
      </c>
      <c r="C91" s="51"/>
      <c r="D91" s="101"/>
      <c r="E91" s="101"/>
    </row>
    <row r="92" spans="1:8" s="73" customFormat="1" ht="121.5" customHeight="1">
      <c r="A92" s="56" t="s">
        <v>265</v>
      </c>
      <c r="B92" s="76" t="s">
        <v>812</v>
      </c>
      <c r="C92" s="51">
        <f>1+48+50</f>
        <v>99</v>
      </c>
      <c r="D92" s="99">
        <f>48+50</f>
        <v>98</v>
      </c>
      <c r="E92" s="99">
        <f>48+55</f>
        <v>103</v>
      </c>
      <c r="F92" s="152">
        <f>C93+C94</f>
        <v>99</v>
      </c>
      <c r="G92" s="152">
        <f>D93+D94</f>
        <v>98</v>
      </c>
      <c r="H92" s="152">
        <f>E93+E94</f>
        <v>103</v>
      </c>
    </row>
    <row r="93" spans="1:8" s="73" customFormat="1" ht="66" customHeight="1">
      <c r="A93" s="56" t="s">
        <v>508</v>
      </c>
      <c r="B93" s="76" t="s">
        <v>509</v>
      </c>
      <c r="C93" s="51">
        <f>1+48</f>
        <v>49</v>
      </c>
      <c r="D93" s="101">
        <f>48</f>
        <v>48</v>
      </c>
      <c r="E93" s="101">
        <f>48</f>
        <v>48</v>
      </c>
    </row>
    <row r="94" spans="1:8" s="73" customFormat="1" ht="63" customHeight="1">
      <c r="A94" s="56" t="s">
        <v>266</v>
      </c>
      <c r="B94" s="76" t="s">
        <v>267</v>
      </c>
      <c r="C94" s="51">
        <f>50</f>
        <v>50</v>
      </c>
      <c r="D94" s="98">
        <f>50</f>
        <v>50</v>
      </c>
      <c r="E94" s="98">
        <f>55</f>
        <v>55</v>
      </c>
    </row>
    <row r="95" spans="1:8" s="73" customFormat="1" ht="72.75" customHeight="1">
      <c r="A95" s="56" t="s">
        <v>163</v>
      </c>
      <c r="B95" s="76" t="s">
        <v>162</v>
      </c>
      <c r="C95" s="51">
        <f>139.4</f>
        <v>139.4</v>
      </c>
      <c r="D95" s="98">
        <f>144</f>
        <v>144</v>
      </c>
      <c r="E95" s="98">
        <f>134.9</f>
        <v>134.9</v>
      </c>
    </row>
    <row r="96" spans="1:8" s="73" customFormat="1" ht="90.75" hidden="1" customHeight="1">
      <c r="A96" s="72" t="s">
        <v>295</v>
      </c>
      <c r="B96" s="76" t="s">
        <v>340</v>
      </c>
      <c r="C96" s="51"/>
      <c r="D96" s="51"/>
      <c r="E96" s="51"/>
    </row>
    <row r="97" spans="1:8" s="73" customFormat="1" ht="86.25" hidden="1" customHeight="1">
      <c r="A97" s="72" t="s">
        <v>296</v>
      </c>
      <c r="B97" s="76" t="s">
        <v>339</v>
      </c>
      <c r="C97" s="51"/>
      <c r="D97" s="98"/>
      <c r="E97" s="98"/>
    </row>
    <row r="98" spans="1:8" s="73" customFormat="1" ht="45.75" hidden="1" customHeight="1">
      <c r="A98" s="72" t="s">
        <v>803</v>
      </c>
      <c r="B98" s="76" t="s">
        <v>804</v>
      </c>
      <c r="C98" s="51"/>
      <c r="D98" s="51"/>
      <c r="E98" s="51"/>
    </row>
    <row r="99" spans="1:8" s="135" customFormat="1" ht="43.5" hidden="1" customHeight="1">
      <c r="A99" s="132" t="s">
        <v>805</v>
      </c>
      <c r="B99" s="133" t="s">
        <v>806</v>
      </c>
      <c r="C99" s="134"/>
      <c r="D99" s="154"/>
      <c r="E99" s="154"/>
    </row>
    <row r="100" spans="1:8" s="73" customFormat="1" ht="84" customHeight="1">
      <c r="A100" s="72" t="s">
        <v>787</v>
      </c>
      <c r="B100" s="76" t="s">
        <v>324</v>
      </c>
      <c r="C100" s="51">
        <f>15+19.9+52.7</f>
        <v>87.6</v>
      </c>
      <c r="D100" s="98">
        <f>15+21.1+52.7</f>
        <v>88.800000000000011</v>
      </c>
      <c r="E100" s="98">
        <f>15+21.5+52.7</f>
        <v>89.2</v>
      </c>
    </row>
    <row r="101" spans="1:8" s="73" customFormat="1" ht="75.75" customHeight="1">
      <c r="A101" s="72" t="s">
        <v>325</v>
      </c>
      <c r="B101" s="76" t="s">
        <v>326</v>
      </c>
      <c r="C101" s="51">
        <f>110.1</f>
        <v>110.1</v>
      </c>
      <c r="D101" s="98">
        <f>100</f>
        <v>100</v>
      </c>
      <c r="E101" s="98">
        <f>90</f>
        <v>90</v>
      </c>
    </row>
    <row r="102" spans="1:8" s="73" customFormat="1" ht="54.75" customHeight="1">
      <c r="A102" s="56" t="s">
        <v>224</v>
      </c>
      <c r="B102" s="76" t="s">
        <v>225</v>
      </c>
      <c r="C102" s="51">
        <f>C103</f>
        <v>2455.6</v>
      </c>
      <c r="D102" s="51">
        <f t="shared" ref="D102:E102" si="17">D103</f>
        <v>2434.8000000000002</v>
      </c>
      <c r="E102" s="51">
        <f t="shared" si="17"/>
        <v>2463.1</v>
      </c>
    </row>
    <row r="103" spans="1:8" s="73" customFormat="1" ht="56.25" customHeight="1">
      <c r="A103" s="56" t="s">
        <v>158</v>
      </c>
      <c r="B103" s="76" t="s">
        <v>157</v>
      </c>
      <c r="C103" s="51">
        <f>250+10+7+2042.6+146</f>
        <v>2455.6</v>
      </c>
      <c r="D103" s="99">
        <f>250+5+7+2026.8+146</f>
        <v>2434.8000000000002</v>
      </c>
      <c r="E103" s="98">
        <f>250+3+7+2057.1+146</f>
        <v>2463.1</v>
      </c>
    </row>
    <row r="104" spans="1:8" s="73" customFormat="1" ht="25.5" customHeight="1">
      <c r="A104" s="55" t="s">
        <v>226</v>
      </c>
      <c r="B104" s="75" t="s">
        <v>152</v>
      </c>
      <c r="C104" s="50">
        <f>2041.5+791.9+324.8</f>
        <v>3158.2000000000003</v>
      </c>
      <c r="D104" s="50">
        <v>2005.1</v>
      </c>
      <c r="E104" s="50">
        <v>2012.1</v>
      </c>
      <c r="F104" s="150">
        <f>C106+C107+C108+C109+C110</f>
        <v>3158.2</v>
      </c>
      <c r="G104" s="150">
        <f>D106+D107+D108+D109+D110</f>
        <v>2005.1</v>
      </c>
      <c r="H104" s="150">
        <f>E106+E107+E108+E109+E110</f>
        <v>2012.1000000000001</v>
      </c>
    </row>
    <row r="105" spans="1:8" s="73" customFormat="1" ht="20.25" customHeight="1">
      <c r="A105" s="56" t="s">
        <v>227</v>
      </c>
      <c r="B105" s="76" t="s">
        <v>228</v>
      </c>
      <c r="C105" s="51">
        <f>C106+C107+C108+C109+C110</f>
        <v>3158.2</v>
      </c>
      <c r="D105" s="51">
        <f>D106+D107+D108+D109+D110</f>
        <v>2005.1</v>
      </c>
      <c r="E105" s="51">
        <f>E106+E107+E108+E109+E110</f>
        <v>2012.1000000000001</v>
      </c>
    </row>
    <row r="106" spans="1:8" s="73" customFormat="1" ht="55.5" customHeight="1">
      <c r="A106" s="56" t="s">
        <v>187</v>
      </c>
      <c r="B106" s="76" t="s">
        <v>186</v>
      </c>
      <c r="C106" s="51">
        <f>829.9</f>
        <v>829.9</v>
      </c>
      <c r="D106" s="99">
        <f>829.9</f>
        <v>829.9</v>
      </c>
      <c r="E106" s="99">
        <f>829.9</f>
        <v>829.9</v>
      </c>
    </row>
    <row r="107" spans="1:8" s="73" customFormat="1" ht="45" customHeight="1">
      <c r="A107" s="56" t="s">
        <v>195</v>
      </c>
      <c r="B107" s="76" t="s">
        <v>194</v>
      </c>
      <c r="C107" s="51">
        <v>270.60000000000002</v>
      </c>
      <c r="D107" s="99">
        <v>230.8</v>
      </c>
      <c r="E107" s="99">
        <v>200</v>
      </c>
    </row>
    <row r="108" spans="1:8" s="73" customFormat="1" ht="36" customHeight="1">
      <c r="A108" s="56" t="s">
        <v>174</v>
      </c>
      <c r="B108" s="76" t="s">
        <v>84</v>
      </c>
      <c r="C108" s="51">
        <f>32.9+324.8</f>
        <v>357.7</v>
      </c>
      <c r="D108" s="101">
        <v>0</v>
      </c>
      <c r="E108" s="101">
        <v>0</v>
      </c>
    </row>
    <row r="109" spans="1:8" s="73" customFormat="1" ht="1.5" hidden="1" customHeight="1">
      <c r="A109" s="56" t="s">
        <v>779</v>
      </c>
      <c r="B109" s="76" t="s">
        <v>780</v>
      </c>
      <c r="C109" s="51"/>
      <c r="D109" s="101"/>
      <c r="E109" s="101"/>
    </row>
    <row r="110" spans="1:8" s="73" customFormat="1" ht="71.25" customHeight="1">
      <c r="A110" s="56" t="s">
        <v>499</v>
      </c>
      <c r="B110" s="76" t="s">
        <v>500</v>
      </c>
      <c r="C110" s="51">
        <f>908.1+791.9</f>
        <v>1700</v>
      </c>
      <c r="D110" s="99">
        <v>944.4</v>
      </c>
      <c r="E110" s="99">
        <v>982.2</v>
      </c>
    </row>
    <row r="111" spans="1:8" s="73" customFormat="1" ht="43.5" customHeight="1">
      <c r="A111" s="55" t="s">
        <v>229</v>
      </c>
      <c r="B111" s="75" t="s">
        <v>230</v>
      </c>
      <c r="C111" s="50">
        <f>796668.4+8223.2-1042.7</f>
        <v>803848.9</v>
      </c>
      <c r="D111" s="50">
        <v>734710.2</v>
      </c>
      <c r="E111" s="50">
        <v>757047.7</v>
      </c>
      <c r="F111" s="150">
        <f>C112+C131+C133</f>
        <v>803848.9</v>
      </c>
      <c r="G111" s="150">
        <f>D112+D131+D133</f>
        <v>734710.2</v>
      </c>
      <c r="H111" s="150">
        <f>E112+E131+E133</f>
        <v>757047.7</v>
      </c>
    </row>
    <row r="112" spans="1:8" s="73" customFormat="1" ht="60.75" customHeight="1">
      <c r="A112" s="55" t="s">
        <v>231</v>
      </c>
      <c r="B112" s="75" t="s">
        <v>153</v>
      </c>
      <c r="C112" s="50">
        <f>796668.4+8223.2</f>
        <v>804891.6</v>
      </c>
      <c r="D112" s="50">
        <v>734710.2</v>
      </c>
      <c r="E112" s="50">
        <v>757047.7</v>
      </c>
      <c r="F112" s="141">
        <f>C113+C116+C124+C129</f>
        <v>804891.60000000009</v>
      </c>
      <c r="G112" s="141">
        <f>D113+D116+D124</f>
        <v>734710.2</v>
      </c>
      <c r="H112" s="141">
        <f>E113+E116+E124</f>
        <v>757047.7</v>
      </c>
    </row>
    <row r="113" spans="1:8" s="109" customFormat="1" ht="42.75" customHeight="1">
      <c r="A113" s="106" t="s">
        <v>1041</v>
      </c>
      <c r="B113" s="105" t="s">
        <v>232</v>
      </c>
      <c r="C113" s="107">
        <f>C114+C115</f>
        <v>323266.10000000003</v>
      </c>
      <c r="D113" s="107">
        <f>D114+D115</f>
        <v>257501.1</v>
      </c>
      <c r="E113" s="107">
        <f>E114+E115</f>
        <v>258997.1</v>
      </c>
    </row>
    <row r="114" spans="1:8" s="109" customFormat="1" ht="44.25" customHeight="1">
      <c r="A114" s="106" t="s">
        <v>1042</v>
      </c>
      <c r="B114" s="105" t="s">
        <v>176</v>
      </c>
      <c r="C114" s="107">
        <v>275952.7</v>
      </c>
      <c r="D114" s="108">
        <v>257501.1</v>
      </c>
      <c r="E114" s="108">
        <v>258997.1</v>
      </c>
    </row>
    <row r="115" spans="1:8" s="109" customFormat="1" ht="44.25" customHeight="1">
      <c r="A115" s="129" t="s">
        <v>1043</v>
      </c>
      <c r="B115" s="105" t="s">
        <v>807</v>
      </c>
      <c r="C115" s="107">
        <v>47313.4</v>
      </c>
      <c r="D115" s="114">
        <v>0</v>
      </c>
      <c r="E115" s="114">
        <v>0</v>
      </c>
    </row>
    <row r="116" spans="1:8" s="109" customFormat="1" ht="43.5" customHeight="1">
      <c r="A116" s="106" t="s">
        <v>1044</v>
      </c>
      <c r="B116" s="105" t="s">
        <v>816</v>
      </c>
      <c r="C116" s="107">
        <f>28139.1+5819+26.6</f>
        <v>33984.699999999997</v>
      </c>
      <c r="D116" s="108">
        <v>10418.700000000001</v>
      </c>
      <c r="E116" s="108">
        <v>10731.9</v>
      </c>
      <c r="F116" s="155">
        <f>C118+C119+C120+C123+C121+C117+C122</f>
        <v>33984.699999999997</v>
      </c>
      <c r="G116" s="155">
        <f t="shared" ref="G116:H116" si="18">D118+D119+D120+D123+D121+D117+D122</f>
        <v>10418.700000000001</v>
      </c>
      <c r="H116" s="155">
        <f t="shared" si="18"/>
        <v>10731.9</v>
      </c>
    </row>
    <row r="117" spans="1:8" s="109" customFormat="1" ht="43.5" customHeight="1">
      <c r="A117" s="106" t="s">
        <v>1045</v>
      </c>
      <c r="B117" s="166" t="s">
        <v>998</v>
      </c>
      <c r="C117" s="107">
        <v>0</v>
      </c>
      <c r="D117" s="114">
        <v>0</v>
      </c>
      <c r="E117" s="114">
        <v>0</v>
      </c>
      <c r="F117" s="155"/>
      <c r="G117" s="155"/>
      <c r="H117" s="155"/>
    </row>
    <row r="118" spans="1:8" s="109" customFormat="1" ht="43.5" hidden="1" customHeight="1">
      <c r="A118" s="106" t="s">
        <v>982</v>
      </c>
      <c r="B118" s="105" t="s">
        <v>983</v>
      </c>
      <c r="C118" s="107"/>
      <c r="D118" s="114"/>
      <c r="E118" s="114"/>
    </row>
    <row r="119" spans="1:8" s="109" customFormat="1" ht="97.5" hidden="1" customHeight="1">
      <c r="A119" s="128" t="s">
        <v>794</v>
      </c>
      <c r="B119" s="105" t="s">
        <v>795</v>
      </c>
      <c r="C119" s="107"/>
      <c r="D119" s="114"/>
      <c r="E119" s="114"/>
    </row>
    <row r="120" spans="1:8" s="109" customFormat="1" ht="33" hidden="1" customHeight="1">
      <c r="A120" s="128" t="s">
        <v>826</v>
      </c>
      <c r="B120" s="105" t="s">
        <v>827</v>
      </c>
      <c r="C120" s="107"/>
      <c r="D120" s="114"/>
      <c r="E120" s="114"/>
    </row>
    <row r="121" spans="1:8" s="109" customFormat="1" ht="72" customHeight="1">
      <c r="A121" s="128" t="s">
        <v>1046</v>
      </c>
      <c r="B121" s="105" t="s">
        <v>824</v>
      </c>
      <c r="C121" s="107">
        <v>26.6</v>
      </c>
      <c r="D121" s="114">
        <v>0</v>
      </c>
      <c r="E121" s="114">
        <v>0</v>
      </c>
    </row>
    <row r="122" spans="1:8" s="109" customFormat="1" ht="70.5" hidden="1" customHeight="1">
      <c r="A122" s="128" t="s">
        <v>814</v>
      </c>
      <c r="B122" s="105" t="s">
        <v>815</v>
      </c>
      <c r="C122" s="107"/>
      <c r="D122" s="114"/>
      <c r="E122" s="114"/>
    </row>
    <row r="123" spans="1:8" s="109" customFormat="1" ht="40.5" customHeight="1">
      <c r="A123" s="106" t="s">
        <v>1047</v>
      </c>
      <c r="B123" s="105" t="s">
        <v>177</v>
      </c>
      <c r="C123" s="107">
        <f>28139.1+5819</f>
        <v>33958.1</v>
      </c>
      <c r="D123" s="108">
        <v>10418.700000000001</v>
      </c>
      <c r="E123" s="108">
        <v>10731.9</v>
      </c>
    </row>
    <row r="124" spans="1:8" s="109" customFormat="1" ht="45" customHeight="1">
      <c r="A124" s="106" t="s">
        <v>1048</v>
      </c>
      <c r="B124" s="105" t="s">
        <v>233</v>
      </c>
      <c r="C124" s="107">
        <f>445263.2+2377.6</f>
        <v>447640.8</v>
      </c>
      <c r="D124" s="107">
        <v>466790.40000000002</v>
      </c>
      <c r="E124" s="107">
        <v>487318.7</v>
      </c>
      <c r="F124" s="155">
        <f>C125+C126+C127+C128</f>
        <v>447640.8</v>
      </c>
      <c r="G124" s="155">
        <f>D125+D126+D127+D128</f>
        <v>466790.39999999997</v>
      </c>
      <c r="H124" s="155">
        <f>E125+E126+E127+E128</f>
        <v>487318.7</v>
      </c>
    </row>
    <row r="125" spans="1:8" s="109" customFormat="1" ht="57" customHeight="1">
      <c r="A125" s="106" t="s">
        <v>1049</v>
      </c>
      <c r="B125" s="105" t="s">
        <v>178</v>
      </c>
      <c r="C125" s="107">
        <v>8605.7999999999993</v>
      </c>
      <c r="D125" s="107">
        <v>8596.6</v>
      </c>
      <c r="E125" s="107">
        <v>8596.6</v>
      </c>
    </row>
    <row r="126" spans="1:8" s="109" customFormat="1" ht="77.25" customHeight="1">
      <c r="A126" s="110" t="s">
        <v>1050</v>
      </c>
      <c r="B126" s="105" t="s">
        <v>327</v>
      </c>
      <c r="C126" s="107">
        <v>4293.8999999999996</v>
      </c>
      <c r="D126" s="114">
        <v>8587.6</v>
      </c>
      <c r="E126" s="114">
        <v>7514.2</v>
      </c>
    </row>
    <row r="127" spans="1:8" s="109" customFormat="1" ht="77.25" customHeight="1">
      <c r="A127" s="110" t="s">
        <v>1051</v>
      </c>
      <c r="B127" s="105" t="s">
        <v>935</v>
      </c>
      <c r="C127" s="107">
        <v>16.100000000000001</v>
      </c>
      <c r="D127" s="114">
        <v>16.899999999999999</v>
      </c>
      <c r="E127" s="114">
        <v>17.7</v>
      </c>
    </row>
    <row r="128" spans="1:8" s="109" customFormat="1" ht="38.25" customHeight="1">
      <c r="A128" s="110" t="s">
        <v>1052</v>
      </c>
      <c r="B128" s="105" t="s">
        <v>331</v>
      </c>
      <c r="C128" s="107">
        <f>432347.4+2377.6</f>
        <v>434725</v>
      </c>
      <c r="D128" s="107">
        <v>449589.3</v>
      </c>
      <c r="E128" s="107">
        <v>471190.2</v>
      </c>
    </row>
    <row r="129" spans="1:5" s="109" customFormat="1" ht="38.25" hidden="1" customHeight="1">
      <c r="A129" s="110" t="s">
        <v>984</v>
      </c>
      <c r="B129" s="165" t="s">
        <v>985</v>
      </c>
      <c r="C129" s="107"/>
      <c r="D129" s="107"/>
      <c r="E129" s="107"/>
    </row>
    <row r="130" spans="1:5" s="109" customFormat="1" ht="50.25" hidden="1" customHeight="1">
      <c r="A130" s="110" t="s">
        <v>1026</v>
      </c>
      <c r="B130" s="181" t="s">
        <v>1027</v>
      </c>
      <c r="C130" s="107"/>
      <c r="D130" s="107"/>
      <c r="E130" s="107"/>
    </row>
    <row r="131" spans="1:5" s="109" customFormat="1" ht="127.5" customHeight="1">
      <c r="A131" s="111" t="s">
        <v>341</v>
      </c>
      <c r="B131" s="104" t="s">
        <v>342</v>
      </c>
      <c r="C131" s="112">
        <v>0</v>
      </c>
      <c r="D131" s="112">
        <v>0</v>
      </c>
      <c r="E131" s="112">
        <v>0</v>
      </c>
    </row>
    <row r="132" spans="1:5" s="109" customFormat="1" ht="102.75" customHeight="1">
      <c r="A132" s="106" t="s">
        <v>1053</v>
      </c>
      <c r="B132" s="105" t="s">
        <v>504</v>
      </c>
      <c r="C132" s="107">
        <v>0</v>
      </c>
      <c r="D132" s="107">
        <v>0</v>
      </c>
      <c r="E132" s="107">
        <v>0</v>
      </c>
    </row>
    <row r="133" spans="1:5" s="109" customFormat="1" ht="61.5" customHeight="1">
      <c r="A133" s="113" t="s">
        <v>488</v>
      </c>
      <c r="B133" s="104" t="s">
        <v>489</v>
      </c>
      <c r="C133" s="112">
        <f>C134+C135</f>
        <v>-1042.7</v>
      </c>
      <c r="D133" s="112">
        <v>0</v>
      </c>
      <c r="E133" s="112">
        <v>0</v>
      </c>
    </row>
    <row r="134" spans="1:5" s="109" customFormat="1" ht="69.75" customHeight="1">
      <c r="A134" s="106" t="s">
        <v>1054</v>
      </c>
      <c r="B134" s="105" t="s">
        <v>531</v>
      </c>
      <c r="C134" s="107">
        <f>-1042.7</f>
        <v>-1042.7</v>
      </c>
      <c r="D134" s="107">
        <v>0</v>
      </c>
      <c r="E134" s="107">
        <v>0</v>
      </c>
    </row>
    <row r="135" spans="1:5" s="109" customFormat="1" ht="69.75" customHeight="1">
      <c r="A135" s="106" t="s">
        <v>1055</v>
      </c>
      <c r="B135" s="163" t="s">
        <v>974</v>
      </c>
      <c r="C135" s="107">
        <v>0</v>
      </c>
      <c r="D135" s="107">
        <v>0</v>
      </c>
      <c r="E135" s="107">
        <v>0</v>
      </c>
    </row>
    <row r="136" spans="1:5" s="73" customFormat="1" ht="44.25" customHeight="1">
      <c r="A136" s="86"/>
      <c r="B136" s="75" t="s">
        <v>196</v>
      </c>
      <c r="C136" s="168">
        <f>1165700.5+8223.2-1042.7-5000+324.8</f>
        <v>1168205.8</v>
      </c>
      <c r="D136" s="100">
        <f>1100993.1</f>
        <v>1100993.1000000001</v>
      </c>
      <c r="E136" s="100">
        <v>1104024.5</v>
      </c>
    </row>
    <row r="138" spans="1:5" ht="21.75" customHeight="1">
      <c r="C138" s="167">
        <f>SUM(C7+C111)</f>
        <v>1168205.8</v>
      </c>
      <c r="D138" s="91">
        <f>SUM(D7+D111)</f>
        <v>1100993.1000000001</v>
      </c>
      <c r="E138" s="91">
        <f>SUM(E7+E111)</f>
        <v>1104024.5</v>
      </c>
    </row>
    <row r="139" spans="1:5">
      <c r="B139" s="191"/>
    </row>
    <row r="142" spans="1:5">
      <c r="B142" s="209"/>
    </row>
  </sheetData>
  <mergeCells count="7">
    <mergeCell ref="A1:E1"/>
    <mergeCell ref="A2:E2"/>
    <mergeCell ref="A5:A6"/>
    <mergeCell ref="B5:B6"/>
    <mergeCell ref="A3:E3"/>
    <mergeCell ref="A4:E4"/>
    <mergeCell ref="C5:E5"/>
  </mergeCells>
  <phoneticPr fontId="19" type="noConversion"/>
  <printOptions horizontalCentered="1"/>
  <pageMargins left="0.78740157480314965" right="0.39370078740157483" top="0.78740157480314965" bottom="0.78740157480314965" header="0.31496062992125984" footer="0.19685039370078741"/>
  <pageSetup paperSize="9" scale="75" firstPageNumber="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tabColor rgb="FF92D050"/>
    <pageSetUpPr fitToPage="1"/>
  </sheetPr>
  <dimension ref="A1:I135"/>
  <sheetViews>
    <sheetView view="pageBreakPreview" zoomScaleNormal="100" zoomScaleSheetLayoutView="100" workbookViewId="0">
      <selection activeCell="H2" sqref="H2"/>
    </sheetView>
  </sheetViews>
  <sheetFormatPr defaultRowHeight="15.75"/>
  <cols>
    <col min="1" max="1" width="48.21875" style="64" customWidth="1"/>
    <col min="2" max="2" width="20.44140625" style="58" customWidth="1"/>
    <col min="3" max="3" width="15.5546875" style="58" customWidth="1"/>
    <col min="4" max="4" width="13.5546875" style="53" customWidth="1"/>
    <col min="5" max="5" width="14" style="53" customWidth="1"/>
    <col min="6" max="8" width="11.77734375" style="53" customWidth="1"/>
    <col min="9" max="16384" width="8.88671875" style="53"/>
  </cols>
  <sheetData>
    <row r="1" spans="1:5" ht="135" customHeight="1">
      <c r="A1" s="230" t="s">
        <v>1038</v>
      </c>
      <c r="B1" s="230"/>
      <c r="C1" s="230"/>
      <c r="D1" s="230"/>
      <c r="E1" s="230"/>
    </row>
    <row r="2" spans="1:5" s="1" customFormat="1" ht="128.25" customHeight="1">
      <c r="A2" s="230" t="s">
        <v>1394</v>
      </c>
      <c r="B2" s="230"/>
      <c r="C2" s="230"/>
      <c r="D2" s="230"/>
      <c r="E2" s="230"/>
    </row>
    <row r="3" spans="1:5" ht="74.25" customHeight="1">
      <c r="A3" s="244" t="s">
        <v>1036</v>
      </c>
      <c r="B3" s="244"/>
      <c r="C3" s="244"/>
      <c r="D3" s="244"/>
      <c r="E3" s="244"/>
    </row>
    <row r="4" spans="1:5" ht="39" customHeight="1">
      <c r="A4" s="97"/>
      <c r="B4" s="97"/>
      <c r="C4" s="97"/>
      <c r="D4" s="97"/>
      <c r="E4" s="97"/>
    </row>
    <row r="5" spans="1:5" ht="18" customHeight="1">
      <c r="A5" s="239" t="s">
        <v>1</v>
      </c>
      <c r="B5" s="239"/>
      <c r="C5" s="239"/>
      <c r="D5" s="239"/>
      <c r="E5" s="239"/>
    </row>
    <row r="6" spans="1:5" ht="28.5" customHeight="1">
      <c r="A6" s="232" t="s">
        <v>78</v>
      </c>
      <c r="B6" s="232" t="s">
        <v>46</v>
      </c>
      <c r="C6" s="240" t="s">
        <v>523</v>
      </c>
      <c r="D6" s="240"/>
      <c r="E6" s="240"/>
    </row>
    <row r="7" spans="1:5" ht="15" customHeight="1">
      <c r="A7" s="243"/>
      <c r="B7" s="243"/>
      <c r="C7" s="240"/>
      <c r="D7" s="240"/>
      <c r="E7" s="240"/>
    </row>
    <row r="8" spans="1:5" ht="31.5" customHeight="1">
      <c r="A8" s="233"/>
      <c r="B8" s="233"/>
      <c r="C8" s="96" t="s">
        <v>524</v>
      </c>
      <c r="D8" s="184" t="s">
        <v>937</v>
      </c>
      <c r="E8" s="184" t="s">
        <v>1030</v>
      </c>
    </row>
    <row r="9" spans="1:5" ht="63" customHeight="1">
      <c r="A9" s="124" t="s">
        <v>790</v>
      </c>
      <c r="B9" s="123" t="s">
        <v>789</v>
      </c>
      <c r="C9" s="125">
        <f>C10</f>
        <v>1</v>
      </c>
      <c r="D9" s="125">
        <f>D10</f>
        <v>0</v>
      </c>
      <c r="E9" s="125">
        <f>E10</f>
        <v>0</v>
      </c>
    </row>
    <row r="10" spans="1:5" ht="62.25" customHeight="1">
      <c r="A10" s="126" t="s">
        <v>791</v>
      </c>
      <c r="B10" s="120" t="s">
        <v>508</v>
      </c>
      <c r="C10" s="127">
        <v>1</v>
      </c>
      <c r="D10" s="127">
        <v>0</v>
      </c>
      <c r="E10" s="127">
        <v>0</v>
      </c>
    </row>
    <row r="11" spans="1:5" s="143" customFormat="1" ht="61.5" hidden="1" customHeight="1">
      <c r="A11" s="124" t="s">
        <v>929</v>
      </c>
      <c r="B11" s="123" t="s">
        <v>930</v>
      </c>
      <c r="C11" s="125">
        <f>C12</f>
        <v>0</v>
      </c>
      <c r="D11" s="125">
        <f>D12</f>
        <v>0</v>
      </c>
      <c r="E11" s="125">
        <f>E12</f>
        <v>0</v>
      </c>
    </row>
    <row r="12" spans="1:5" ht="60.75" hidden="1" customHeight="1">
      <c r="A12" s="126" t="s">
        <v>343</v>
      </c>
      <c r="B12" s="120" t="s">
        <v>931</v>
      </c>
      <c r="C12" s="127"/>
      <c r="D12" s="127"/>
      <c r="E12" s="127"/>
    </row>
    <row r="13" spans="1:5" ht="59.25" customHeight="1">
      <c r="A13" s="75" t="s">
        <v>1040</v>
      </c>
      <c r="B13" s="59" t="s">
        <v>159</v>
      </c>
      <c r="C13" s="50">
        <f>C14+C15+C16+C17+C19+C18</f>
        <v>669.19999999999993</v>
      </c>
      <c r="D13" s="50">
        <f t="shared" ref="D13:E13" si="0">D14+D15+D16+D17+D19+D18</f>
        <v>702.7</v>
      </c>
      <c r="E13" s="50">
        <f t="shared" si="0"/>
        <v>737.8</v>
      </c>
    </row>
    <row r="14" spans="1:5" ht="54.75" customHeight="1">
      <c r="A14" s="76" t="s">
        <v>260</v>
      </c>
      <c r="B14" s="60" t="s">
        <v>781</v>
      </c>
      <c r="C14" s="51">
        <v>169.6</v>
      </c>
      <c r="D14" s="98">
        <v>178.1</v>
      </c>
      <c r="E14" s="98">
        <v>187</v>
      </c>
    </row>
    <row r="15" spans="1:5" ht="48.75" hidden="1" customHeight="1">
      <c r="A15" s="76" t="s">
        <v>760</v>
      </c>
      <c r="B15" s="60" t="s">
        <v>782</v>
      </c>
      <c r="C15" s="51"/>
      <c r="D15" s="51"/>
      <c r="E15" s="51"/>
    </row>
    <row r="16" spans="1:5" ht="34.5" customHeight="1">
      <c r="A16" s="76" t="s">
        <v>262</v>
      </c>
      <c r="B16" s="60" t="s">
        <v>783</v>
      </c>
      <c r="C16" s="51">
        <v>318.7</v>
      </c>
      <c r="D16" s="51">
        <v>334.6</v>
      </c>
      <c r="E16" s="51">
        <v>351.3</v>
      </c>
    </row>
    <row r="17" spans="1:5" ht="38.25" hidden="1" customHeight="1">
      <c r="A17" s="76" t="s">
        <v>264</v>
      </c>
      <c r="B17" s="60" t="s">
        <v>784</v>
      </c>
      <c r="C17" s="51"/>
      <c r="D17" s="99"/>
      <c r="E17" s="99"/>
    </row>
    <row r="18" spans="1:5" ht="70.5" customHeight="1">
      <c r="A18" s="76" t="s">
        <v>1020</v>
      </c>
      <c r="B18" s="60" t="s">
        <v>1019</v>
      </c>
      <c r="C18" s="51">
        <v>180.9</v>
      </c>
      <c r="D18" s="101">
        <v>190</v>
      </c>
      <c r="E18" s="101">
        <v>199.5</v>
      </c>
    </row>
    <row r="19" spans="1:5" ht="42" hidden="1" customHeight="1">
      <c r="A19" s="131" t="s">
        <v>808</v>
      </c>
      <c r="B19" s="130" t="s">
        <v>805</v>
      </c>
      <c r="C19" s="51"/>
      <c r="D19" s="122"/>
      <c r="E19" s="122"/>
    </row>
    <row r="20" spans="1:5" ht="77.25" customHeight="1">
      <c r="A20" s="75" t="s">
        <v>525</v>
      </c>
      <c r="B20" s="92" t="s">
        <v>510</v>
      </c>
      <c r="C20" s="50">
        <f>C21+C22+C23</f>
        <v>313</v>
      </c>
      <c r="D20" s="50">
        <f>D21+D22+D23</f>
        <v>313</v>
      </c>
      <c r="E20" s="50">
        <f>E21+E22+E23</f>
        <v>313</v>
      </c>
    </row>
    <row r="21" spans="1:5" ht="52.5" customHeight="1">
      <c r="A21" s="76" t="s">
        <v>512</v>
      </c>
      <c r="B21" s="60" t="s">
        <v>511</v>
      </c>
      <c r="C21" s="51">
        <v>48</v>
      </c>
      <c r="D21" s="98">
        <v>48</v>
      </c>
      <c r="E21" s="99">
        <v>48</v>
      </c>
    </row>
    <row r="22" spans="1:5" ht="89.25" customHeight="1">
      <c r="A22" s="76" t="s">
        <v>329</v>
      </c>
      <c r="B22" s="60" t="s">
        <v>787</v>
      </c>
      <c r="C22" s="51">
        <v>15</v>
      </c>
      <c r="D22" s="101">
        <v>15</v>
      </c>
      <c r="E22" s="101">
        <v>15</v>
      </c>
    </row>
    <row r="23" spans="1:5" ht="69.75" customHeight="1">
      <c r="A23" s="76" t="s">
        <v>514</v>
      </c>
      <c r="B23" s="60" t="s">
        <v>513</v>
      </c>
      <c r="C23" s="51">
        <v>250</v>
      </c>
      <c r="D23" s="98">
        <v>250</v>
      </c>
      <c r="E23" s="98">
        <v>250</v>
      </c>
    </row>
    <row r="24" spans="1:5" ht="55.5" customHeight="1">
      <c r="A24" s="75" t="s">
        <v>319</v>
      </c>
      <c r="B24" s="59">
        <v>100</v>
      </c>
      <c r="C24" s="50">
        <f>C25+C26+C27+C28</f>
        <v>6347.6</v>
      </c>
      <c r="D24" s="50">
        <f>D25+D26+D27+D28</f>
        <v>6347.6</v>
      </c>
      <c r="E24" s="50">
        <f>E25+E26+E27+E28</f>
        <v>6347.6</v>
      </c>
    </row>
    <row r="25" spans="1:5" ht="111.75" customHeight="1">
      <c r="A25" s="77" t="s">
        <v>298</v>
      </c>
      <c r="B25" s="60" t="s">
        <v>310</v>
      </c>
      <c r="C25" s="51">
        <v>2187.4</v>
      </c>
      <c r="D25" s="51">
        <v>2187.4</v>
      </c>
      <c r="E25" s="51">
        <v>2187.4</v>
      </c>
    </row>
    <row r="26" spans="1:5" ht="111.75" customHeight="1">
      <c r="A26" s="77" t="s">
        <v>300</v>
      </c>
      <c r="B26" s="60" t="s">
        <v>311</v>
      </c>
      <c r="C26" s="51">
        <v>18.8</v>
      </c>
      <c r="D26" s="51">
        <v>18.8</v>
      </c>
      <c r="E26" s="51">
        <v>18.8</v>
      </c>
    </row>
    <row r="27" spans="1:5" ht="111.75" customHeight="1">
      <c r="A27" s="77" t="s">
        <v>302</v>
      </c>
      <c r="B27" s="60" t="s">
        <v>301</v>
      </c>
      <c r="C27" s="51">
        <v>4560.8999999999996</v>
      </c>
      <c r="D27" s="51">
        <v>4560.8999999999996</v>
      </c>
      <c r="E27" s="51">
        <v>4560.8999999999996</v>
      </c>
    </row>
    <row r="28" spans="1:5" ht="104.25" customHeight="1">
      <c r="A28" s="77" t="s">
        <v>522</v>
      </c>
      <c r="B28" s="60" t="s">
        <v>521</v>
      </c>
      <c r="C28" s="51">
        <v>-419.5</v>
      </c>
      <c r="D28" s="51">
        <v>-419.5</v>
      </c>
      <c r="E28" s="51">
        <v>-419.5</v>
      </c>
    </row>
    <row r="29" spans="1:5" ht="65.25" customHeight="1">
      <c r="A29" s="75" t="s">
        <v>268</v>
      </c>
      <c r="B29" s="59" t="s">
        <v>47</v>
      </c>
      <c r="C29" s="50">
        <f>C30</f>
        <v>10</v>
      </c>
      <c r="D29" s="50">
        <f>D30</f>
        <v>5</v>
      </c>
      <c r="E29" s="50">
        <f>E30</f>
        <v>3</v>
      </c>
    </row>
    <row r="30" spans="1:5" ht="66" customHeight="1">
      <c r="A30" s="76" t="s">
        <v>157</v>
      </c>
      <c r="B30" s="60" t="s">
        <v>158</v>
      </c>
      <c r="C30" s="51">
        <v>10</v>
      </c>
      <c r="D30" s="99">
        <v>5</v>
      </c>
      <c r="E30" s="99">
        <v>3</v>
      </c>
    </row>
    <row r="31" spans="1:5" ht="63.75" hidden="1" customHeight="1">
      <c r="A31" s="75" t="s">
        <v>269</v>
      </c>
      <c r="B31" s="59" t="s">
        <v>48</v>
      </c>
      <c r="C31" s="50">
        <f>C32+C33</f>
        <v>0</v>
      </c>
      <c r="D31" s="50">
        <f>D32+D33</f>
        <v>0</v>
      </c>
      <c r="E31" s="50">
        <f>E32+E33</f>
        <v>0</v>
      </c>
    </row>
    <row r="32" spans="1:5" ht="74.25" hidden="1" customHeight="1">
      <c r="A32" s="76" t="s">
        <v>162</v>
      </c>
      <c r="B32" s="60" t="s">
        <v>163</v>
      </c>
      <c r="C32" s="51"/>
      <c r="D32" s="98"/>
      <c r="E32" s="98"/>
    </row>
    <row r="33" spans="1:8" ht="65.25" hidden="1" customHeight="1">
      <c r="A33" s="76" t="s">
        <v>157</v>
      </c>
      <c r="B33" s="60" t="s">
        <v>158</v>
      </c>
      <c r="C33" s="51"/>
      <c r="D33" s="51"/>
      <c r="E33" s="51"/>
    </row>
    <row r="34" spans="1:8" ht="57" hidden="1" customHeight="1">
      <c r="A34" s="75" t="s">
        <v>309</v>
      </c>
      <c r="B34" s="59">
        <v>161</v>
      </c>
      <c r="C34" s="50">
        <f>C35</f>
        <v>0</v>
      </c>
      <c r="D34" s="50">
        <f>D35</f>
        <v>0</v>
      </c>
      <c r="E34" s="50">
        <f>E35</f>
        <v>0</v>
      </c>
    </row>
    <row r="35" spans="1:8" ht="87.75" hidden="1" customHeight="1">
      <c r="A35" s="76" t="s">
        <v>343</v>
      </c>
      <c r="B35" s="60" t="s">
        <v>792</v>
      </c>
      <c r="C35" s="51"/>
      <c r="D35" s="98"/>
      <c r="E35" s="98"/>
    </row>
    <row r="36" spans="1:8" ht="103.5" customHeight="1">
      <c r="A36" s="75" t="s">
        <v>270</v>
      </c>
      <c r="B36" s="59">
        <v>177</v>
      </c>
      <c r="C36" s="50">
        <f>C37</f>
        <v>7</v>
      </c>
      <c r="D36" s="50">
        <f>D37</f>
        <v>7</v>
      </c>
      <c r="E36" s="50">
        <f>E37</f>
        <v>7</v>
      </c>
    </row>
    <row r="37" spans="1:8" ht="64.5" customHeight="1">
      <c r="A37" s="76" t="s">
        <v>157</v>
      </c>
      <c r="B37" s="60" t="s">
        <v>158</v>
      </c>
      <c r="C37" s="51">
        <v>7</v>
      </c>
      <c r="D37" s="98">
        <v>7</v>
      </c>
      <c r="E37" s="98">
        <v>7</v>
      </c>
    </row>
    <row r="38" spans="1:8" ht="56.25" customHeight="1">
      <c r="A38" s="75" t="s">
        <v>344</v>
      </c>
      <c r="B38" s="59" t="s">
        <v>44</v>
      </c>
      <c r="C38" s="50">
        <f>301690-791.9+782.4</f>
        <v>301680.5</v>
      </c>
      <c r="D38" s="50">
        <v>310565.5</v>
      </c>
      <c r="E38" s="50">
        <v>293705</v>
      </c>
      <c r="F38" s="145">
        <f>C39+C40+C41+C42+C43+C44+C45+C46+C47+C48+C49+C50+C51+C52+C54+C55+C56+C57+C58+C53</f>
        <v>301680.5</v>
      </c>
      <c r="G38" s="145">
        <f t="shared" ref="G38:H38" si="1">D39+D40+D41+D42+D43+D44+D45+D46+D47+D48+D49+D50+D51+D52+D54+D55+D56+D57+D58+D53</f>
        <v>310565.5</v>
      </c>
      <c r="H38" s="145">
        <f t="shared" si="1"/>
        <v>293705</v>
      </c>
    </row>
    <row r="39" spans="1:8" ht="102" customHeight="1">
      <c r="A39" s="77" t="s">
        <v>256</v>
      </c>
      <c r="B39" s="60" t="s">
        <v>164</v>
      </c>
      <c r="C39" s="51">
        <v>147500</v>
      </c>
      <c r="D39" s="98">
        <v>152500</v>
      </c>
      <c r="E39" s="98">
        <v>155000</v>
      </c>
      <c r="F39" s="144"/>
      <c r="G39" s="144"/>
      <c r="H39" s="144"/>
    </row>
    <row r="40" spans="1:8" ht="129.75" customHeight="1">
      <c r="A40" s="77" t="s">
        <v>258</v>
      </c>
      <c r="B40" s="60" t="s">
        <v>257</v>
      </c>
      <c r="C40" s="51">
        <v>1625</v>
      </c>
      <c r="D40" s="98">
        <v>1750</v>
      </c>
      <c r="E40" s="98">
        <v>1875</v>
      </c>
    </row>
    <row r="41" spans="1:8" ht="69.75" customHeight="1">
      <c r="A41" s="77" t="s">
        <v>283</v>
      </c>
      <c r="B41" s="60" t="s">
        <v>282</v>
      </c>
      <c r="C41" s="51">
        <v>700</v>
      </c>
      <c r="D41" s="98">
        <v>750</v>
      </c>
      <c r="E41" s="98">
        <v>800</v>
      </c>
    </row>
    <row r="42" spans="1:8" ht="96.75" customHeight="1">
      <c r="A42" s="77" t="s">
        <v>348</v>
      </c>
      <c r="B42" s="60" t="s">
        <v>284</v>
      </c>
      <c r="C42" s="51">
        <v>375</v>
      </c>
      <c r="D42" s="98">
        <v>400</v>
      </c>
      <c r="E42" s="98">
        <v>425</v>
      </c>
    </row>
    <row r="43" spans="1:8" ht="53.25" customHeight="1">
      <c r="A43" s="76" t="s">
        <v>20</v>
      </c>
      <c r="B43" s="60" t="s">
        <v>21</v>
      </c>
      <c r="C43" s="51">
        <f>37500-791.9</f>
        <v>36708.1</v>
      </c>
      <c r="D43" s="98">
        <v>38000</v>
      </c>
      <c r="E43" s="98">
        <v>9400</v>
      </c>
    </row>
    <row r="44" spans="1:8" ht="53.25" hidden="1" customHeight="1">
      <c r="A44" s="76" t="s">
        <v>798</v>
      </c>
      <c r="B44" s="60" t="s">
        <v>797</v>
      </c>
      <c r="C44" s="51"/>
      <c r="D44" s="101"/>
      <c r="E44" s="101"/>
    </row>
    <row r="45" spans="1:8" ht="35.25" customHeight="1">
      <c r="A45" s="76" t="s">
        <v>22</v>
      </c>
      <c r="B45" s="60" t="s">
        <v>23</v>
      </c>
      <c r="C45" s="51">
        <v>20</v>
      </c>
      <c r="D45" s="98">
        <v>23</v>
      </c>
      <c r="E45" s="98">
        <v>25</v>
      </c>
    </row>
    <row r="46" spans="1:8" ht="79.5" customHeight="1">
      <c r="A46" s="76" t="s">
        <v>292</v>
      </c>
      <c r="B46" s="60" t="s">
        <v>290</v>
      </c>
      <c r="C46" s="51">
        <f>9000+782.4</f>
        <v>9782.4</v>
      </c>
      <c r="D46" s="98">
        <v>10000</v>
      </c>
      <c r="E46" s="98">
        <v>18000</v>
      </c>
    </row>
    <row r="47" spans="1:8" ht="64.5" customHeight="1">
      <c r="A47" s="76" t="s">
        <v>24</v>
      </c>
      <c r="B47" s="60" t="s">
        <v>25</v>
      </c>
      <c r="C47" s="51">
        <v>12500</v>
      </c>
      <c r="D47" s="98">
        <v>13500</v>
      </c>
      <c r="E47" s="98">
        <v>13800</v>
      </c>
    </row>
    <row r="48" spans="1:8" ht="57" customHeight="1">
      <c r="A48" s="76" t="s">
        <v>346</v>
      </c>
      <c r="B48" s="60" t="s">
        <v>345</v>
      </c>
      <c r="C48" s="51">
        <v>65000</v>
      </c>
      <c r="D48" s="98">
        <v>66000</v>
      </c>
      <c r="E48" s="98">
        <v>66500</v>
      </c>
    </row>
    <row r="49" spans="1:5" ht="54.75" customHeight="1">
      <c r="A49" s="76" t="s">
        <v>347</v>
      </c>
      <c r="B49" s="60" t="s">
        <v>334</v>
      </c>
      <c r="C49" s="51">
        <v>19200</v>
      </c>
      <c r="D49" s="98">
        <v>19300</v>
      </c>
      <c r="E49" s="98">
        <v>19400</v>
      </c>
    </row>
    <row r="50" spans="1:5" ht="65.25" customHeight="1">
      <c r="A50" s="76" t="s">
        <v>26</v>
      </c>
      <c r="B50" s="60" t="s">
        <v>170</v>
      </c>
      <c r="C50" s="51">
        <v>7850</v>
      </c>
      <c r="D50" s="98">
        <v>7900</v>
      </c>
      <c r="E50" s="98">
        <v>8000</v>
      </c>
    </row>
    <row r="51" spans="1:5" ht="61.5" hidden="1" customHeight="1">
      <c r="A51" s="76" t="s">
        <v>786</v>
      </c>
      <c r="B51" s="56" t="s">
        <v>765</v>
      </c>
      <c r="C51" s="51"/>
      <c r="D51" s="51"/>
      <c r="E51" s="51"/>
    </row>
    <row r="52" spans="1:5" ht="30" hidden="1" customHeight="1">
      <c r="A52" s="76" t="s">
        <v>785</v>
      </c>
      <c r="B52" s="56" t="s">
        <v>766</v>
      </c>
      <c r="C52" s="51"/>
      <c r="D52" s="51"/>
      <c r="E52" s="51"/>
    </row>
    <row r="53" spans="1:5" ht="53.25" hidden="1" customHeight="1">
      <c r="A53" s="76" t="s">
        <v>1010</v>
      </c>
      <c r="B53" s="56" t="s">
        <v>1009</v>
      </c>
      <c r="C53" s="51"/>
      <c r="D53" s="51"/>
      <c r="E53" s="51"/>
    </row>
    <row r="54" spans="1:5" ht="30" hidden="1" customHeight="1">
      <c r="A54" s="76" t="s">
        <v>763</v>
      </c>
      <c r="B54" s="56" t="s">
        <v>767</v>
      </c>
      <c r="C54" s="51"/>
      <c r="D54" s="51"/>
      <c r="E54" s="51"/>
    </row>
    <row r="55" spans="1:5" ht="67.5" hidden="1" customHeight="1">
      <c r="A55" s="76" t="s">
        <v>764</v>
      </c>
      <c r="B55" s="56" t="s">
        <v>768</v>
      </c>
      <c r="C55" s="51"/>
      <c r="D55" s="51"/>
      <c r="E55" s="51"/>
    </row>
    <row r="56" spans="1:5" ht="94.5" customHeight="1">
      <c r="A56" s="76" t="s">
        <v>809</v>
      </c>
      <c r="B56" s="60" t="s">
        <v>171</v>
      </c>
      <c r="C56" s="51">
        <v>240</v>
      </c>
      <c r="D56" s="98">
        <v>250</v>
      </c>
      <c r="E56" s="98">
        <v>275</v>
      </c>
    </row>
    <row r="57" spans="1:5" ht="79.5" customHeight="1">
      <c r="A57" s="76" t="s">
        <v>172</v>
      </c>
      <c r="B57" s="60" t="s">
        <v>173</v>
      </c>
      <c r="C57" s="51">
        <v>80</v>
      </c>
      <c r="D57" s="98">
        <v>82.5</v>
      </c>
      <c r="E57" s="98">
        <v>85</v>
      </c>
    </row>
    <row r="58" spans="1:5" ht="80.25" customHeight="1">
      <c r="A58" s="76" t="s">
        <v>294</v>
      </c>
      <c r="B58" s="60" t="s">
        <v>293</v>
      </c>
      <c r="C58" s="51">
        <v>100</v>
      </c>
      <c r="D58" s="98">
        <v>110</v>
      </c>
      <c r="E58" s="98">
        <v>120</v>
      </c>
    </row>
    <row r="59" spans="1:5" ht="46.5" customHeight="1">
      <c r="A59" s="75" t="s">
        <v>328</v>
      </c>
      <c r="B59" s="59" t="s">
        <v>81</v>
      </c>
      <c r="C59" s="50">
        <f>C60+C61+C62+C63+C64+C65</f>
        <v>2495.7999999999997</v>
      </c>
      <c r="D59" s="50">
        <f>D60+D61+D62+D63+D64+D65</f>
        <v>2455.4</v>
      </c>
      <c r="E59" s="50">
        <f>E60+E61+E62+E63+E64+E65</f>
        <v>2493.6999999999998</v>
      </c>
    </row>
    <row r="60" spans="1:5" ht="81" customHeight="1">
      <c r="A60" s="76" t="s">
        <v>810</v>
      </c>
      <c r="B60" s="60" t="s">
        <v>322</v>
      </c>
      <c r="C60" s="51">
        <v>140.5</v>
      </c>
      <c r="D60" s="98">
        <v>138.30000000000001</v>
      </c>
      <c r="E60" s="98">
        <v>136.4</v>
      </c>
    </row>
    <row r="61" spans="1:5" ht="70.5" customHeight="1">
      <c r="A61" s="76" t="s">
        <v>338</v>
      </c>
      <c r="B61" s="60" t="s">
        <v>337</v>
      </c>
      <c r="C61" s="51">
        <v>26.8</v>
      </c>
      <c r="D61" s="99">
        <v>19.899999999999999</v>
      </c>
      <c r="E61" s="99">
        <v>26.5</v>
      </c>
    </row>
    <row r="62" spans="1:5" ht="70.5" customHeight="1">
      <c r="A62" s="76" t="s">
        <v>811</v>
      </c>
      <c r="B62" s="60" t="s">
        <v>799</v>
      </c>
      <c r="C62" s="51">
        <v>126.6</v>
      </c>
      <c r="D62" s="101">
        <v>105.3</v>
      </c>
      <c r="E62" s="101">
        <v>117.3</v>
      </c>
    </row>
    <row r="63" spans="1:5" ht="80.25" customHeight="1">
      <c r="A63" s="76" t="s">
        <v>162</v>
      </c>
      <c r="B63" s="60" t="s">
        <v>934</v>
      </c>
      <c r="C63" s="51">
        <v>139.4</v>
      </c>
      <c r="D63" s="98">
        <v>144</v>
      </c>
      <c r="E63" s="98">
        <v>134.9</v>
      </c>
    </row>
    <row r="64" spans="1:5" ht="95.25" customHeight="1">
      <c r="A64" s="76" t="s">
        <v>329</v>
      </c>
      <c r="B64" s="60" t="s">
        <v>323</v>
      </c>
      <c r="C64" s="51">
        <v>19.899999999999999</v>
      </c>
      <c r="D64" s="98">
        <v>21.1</v>
      </c>
      <c r="E64" s="98">
        <v>21.5</v>
      </c>
    </row>
    <row r="65" spans="1:9" ht="62.25" customHeight="1">
      <c r="A65" s="76" t="s">
        <v>157</v>
      </c>
      <c r="B65" s="60" t="s">
        <v>158</v>
      </c>
      <c r="C65" s="51">
        <v>2042.6</v>
      </c>
      <c r="D65" s="98">
        <v>2026.8</v>
      </c>
      <c r="E65" s="98">
        <v>2057.1</v>
      </c>
    </row>
    <row r="66" spans="1:9" ht="60" customHeight="1">
      <c r="A66" s="75" t="s">
        <v>271</v>
      </c>
      <c r="B66" s="59">
        <v>321</v>
      </c>
      <c r="C66" s="50">
        <f>C67</f>
        <v>50</v>
      </c>
      <c r="D66" s="50">
        <f>D67</f>
        <v>50</v>
      </c>
      <c r="E66" s="50">
        <f>E67</f>
        <v>55</v>
      </c>
    </row>
    <row r="67" spans="1:9" ht="50.25" customHeight="1">
      <c r="A67" s="76" t="s">
        <v>813</v>
      </c>
      <c r="B67" s="60" t="s">
        <v>793</v>
      </c>
      <c r="C67" s="51">
        <v>50</v>
      </c>
      <c r="D67" s="98">
        <v>50</v>
      </c>
      <c r="E67" s="98">
        <v>55</v>
      </c>
    </row>
    <row r="68" spans="1:9" ht="54" customHeight="1">
      <c r="A68" s="75" t="s">
        <v>526</v>
      </c>
      <c r="B68" s="59">
        <v>322</v>
      </c>
      <c r="C68" s="50">
        <f>C69</f>
        <v>52.7</v>
      </c>
      <c r="D68" s="50">
        <f>D69</f>
        <v>52.7</v>
      </c>
      <c r="E68" s="50">
        <f>E69</f>
        <v>52.7</v>
      </c>
    </row>
    <row r="69" spans="1:9" ht="52.5" customHeight="1">
      <c r="A69" s="76" t="s">
        <v>267</v>
      </c>
      <c r="B69" s="60" t="s">
        <v>787</v>
      </c>
      <c r="C69" s="51">
        <v>52.7</v>
      </c>
      <c r="D69" s="101">
        <v>52.7</v>
      </c>
      <c r="E69" s="101">
        <v>52.7</v>
      </c>
    </row>
    <row r="70" spans="1:9" ht="36.75" hidden="1" customHeight="1">
      <c r="A70" s="75" t="s">
        <v>788</v>
      </c>
      <c r="B70" s="59">
        <v>415</v>
      </c>
      <c r="C70" s="50">
        <f>C71</f>
        <v>0</v>
      </c>
      <c r="D70" s="50">
        <f>D71</f>
        <v>0</v>
      </c>
      <c r="E70" s="50">
        <f>E71</f>
        <v>0</v>
      </c>
    </row>
    <row r="71" spans="1:9" ht="54.75" hidden="1" customHeight="1">
      <c r="A71" s="76" t="s">
        <v>157</v>
      </c>
      <c r="B71" s="60" t="s">
        <v>513</v>
      </c>
      <c r="C71" s="51"/>
      <c r="D71" s="101"/>
      <c r="E71" s="101"/>
    </row>
    <row r="72" spans="1:9" ht="54.75" hidden="1" customHeight="1">
      <c r="A72" s="75" t="s">
        <v>821</v>
      </c>
      <c r="B72" s="59">
        <v>951</v>
      </c>
      <c r="C72" s="50">
        <f>C73</f>
        <v>0</v>
      </c>
      <c r="D72" s="50">
        <f>D73</f>
        <v>0</v>
      </c>
      <c r="E72" s="50">
        <f>E73</f>
        <v>0</v>
      </c>
    </row>
    <row r="73" spans="1:9" ht="54.75" hidden="1" customHeight="1">
      <c r="A73" s="76" t="s">
        <v>84</v>
      </c>
      <c r="B73" s="60" t="s">
        <v>174</v>
      </c>
      <c r="C73" s="51"/>
      <c r="D73" s="101"/>
      <c r="E73" s="101"/>
    </row>
    <row r="74" spans="1:9" ht="50.25" customHeight="1">
      <c r="A74" s="75" t="s">
        <v>175</v>
      </c>
      <c r="B74" s="59" t="s">
        <v>30</v>
      </c>
      <c r="C74" s="50">
        <f>C77+C78+C79+C80+C81+C82+C84+C85+C86+C87+C88+C89+C90+C92+C94+C96+C91+C75+C95+C93+C83+C76</f>
        <v>806119.1</v>
      </c>
      <c r="D74" s="50">
        <f>D77+D79+D80+D81+D82+D84+D85+D86+D87+D88+D89+D90+D92+D94+D96+D91+D75</f>
        <v>737019.29999999993</v>
      </c>
      <c r="E74" s="50">
        <f>E77+E79+E80+E81+E82+E84+E85+E86+E87+E88+E89+E90+E92+E94+E96+E91+E75</f>
        <v>759326</v>
      </c>
      <c r="F74" s="150">
        <f>SUM(C75:C96)</f>
        <v>806119.10000000009</v>
      </c>
      <c r="G74" s="150">
        <f>SUM(D75:D96)</f>
        <v>737019.3</v>
      </c>
      <c r="H74" s="150">
        <f>SUM(E75:E96)</f>
        <v>759326</v>
      </c>
      <c r="I74" s="57"/>
    </row>
    <row r="75" spans="1:9" s="66" customFormat="1" ht="50.25" customHeight="1">
      <c r="A75" s="189" t="s">
        <v>181</v>
      </c>
      <c r="B75" s="110" t="s">
        <v>182</v>
      </c>
      <c r="C75" s="107">
        <v>1999.6</v>
      </c>
      <c r="D75" s="108">
        <v>2078.3000000000002</v>
      </c>
      <c r="E75" s="108">
        <v>2078.3000000000002</v>
      </c>
    </row>
    <row r="76" spans="1:9" s="160" customFormat="1" ht="50.25" hidden="1" customHeight="1">
      <c r="A76" s="186" t="s">
        <v>926</v>
      </c>
      <c r="B76" s="187" t="s">
        <v>925</v>
      </c>
      <c r="C76" s="188"/>
      <c r="D76" s="188"/>
      <c r="E76" s="188"/>
    </row>
    <row r="77" spans="1:9" ht="50.25" hidden="1" customHeight="1">
      <c r="A77" s="186" t="s">
        <v>822</v>
      </c>
      <c r="B77" s="187" t="s">
        <v>823</v>
      </c>
      <c r="C77" s="188"/>
      <c r="D77" s="188"/>
      <c r="E77" s="188"/>
    </row>
    <row r="78" spans="1:9" ht="72" hidden="1" customHeight="1">
      <c r="A78" s="186" t="s">
        <v>1014</v>
      </c>
      <c r="B78" s="187" t="s">
        <v>1013</v>
      </c>
      <c r="C78" s="188"/>
      <c r="D78" s="188"/>
      <c r="E78" s="188"/>
    </row>
    <row r="79" spans="1:9" s="66" customFormat="1" ht="60" customHeight="1">
      <c r="A79" s="185" t="s">
        <v>194</v>
      </c>
      <c r="B79" s="110" t="s">
        <v>195</v>
      </c>
      <c r="C79" s="107">
        <v>270.60000000000002</v>
      </c>
      <c r="D79" s="190">
        <v>230.8</v>
      </c>
      <c r="E79" s="190">
        <v>200</v>
      </c>
    </row>
    <row r="80" spans="1:9" ht="51" hidden="1" customHeight="1">
      <c r="A80" s="76" t="s">
        <v>84</v>
      </c>
      <c r="B80" s="60" t="s">
        <v>752</v>
      </c>
      <c r="C80" s="51"/>
      <c r="D80" s="51"/>
      <c r="E80" s="51"/>
    </row>
    <row r="81" spans="1:5" s="66" customFormat="1" ht="51" customHeight="1">
      <c r="A81" s="105" t="s">
        <v>176</v>
      </c>
      <c r="B81" s="110" t="s">
        <v>1042</v>
      </c>
      <c r="C81" s="107">
        <v>275952.7</v>
      </c>
      <c r="D81" s="107">
        <v>257501.1</v>
      </c>
      <c r="E81" s="107">
        <v>258997.1</v>
      </c>
    </row>
    <row r="82" spans="1:5" s="66" customFormat="1" ht="48.75" customHeight="1">
      <c r="A82" s="105" t="s">
        <v>807</v>
      </c>
      <c r="B82" s="110" t="s">
        <v>1043</v>
      </c>
      <c r="C82" s="107">
        <v>47313.4</v>
      </c>
      <c r="D82" s="107">
        <v>0</v>
      </c>
      <c r="E82" s="107">
        <v>0</v>
      </c>
    </row>
    <row r="83" spans="1:5" s="66" customFormat="1" ht="52.5" hidden="1" customHeight="1">
      <c r="A83" s="166" t="s">
        <v>998</v>
      </c>
      <c r="B83" s="110" t="s">
        <v>997</v>
      </c>
      <c r="C83" s="107">
        <v>0</v>
      </c>
      <c r="D83" s="107">
        <v>0</v>
      </c>
      <c r="E83" s="107">
        <v>0</v>
      </c>
    </row>
    <row r="84" spans="1:5" s="66" customFormat="1" ht="52.5" hidden="1" customHeight="1">
      <c r="A84" s="164" t="s">
        <v>983</v>
      </c>
      <c r="B84" s="110" t="s">
        <v>982</v>
      </c>
      <c r="C84" s="107"/>
      <c r="D84" s="107"/>
      <c r="E84" s="107"/>
    </row>
    <row r="85" spans="1:5" s="66" customFormat="1" ht="102" hidden="1" customHeight="1">
      <c r="A85" s="105" t="s">
        <v>795</v>
      </c>
      <c r="B85" s="110" t="s">
        <v>794</v>
      </c>
      <c r="C85" s="107"/>
      <c r="D85" s="107"/>
      <c r="E85" s="107"/>
    </row>
    <row r="86" spans="1:5" s="66" customFormat="1" ht="64.5" customHeight="1">
      <c r="A86" s="105" t="s">
        <v>824</v>
      </c>
      <c r="B86" s="110" t="s">
        <v>1046</v>
      </c>
      <c r="C86" s="107">
        <v>26.6</v>
      </c>
      <c r="D86" s="107">
        <v>0</v>
      </c>
      <c r="E86" s="107">
        <v>0</v>
      </c>
    </row>
    <row r="87" spans="1:5" s="66" customFormat="1" ht="73.5" hidden="1" customHeight="1">
      <c r="A87" s="105" t="s">
        <v>815</v>
      </c>
      <c r="B87" s="110" t="s">
        <v>814</v>
      </c>
      <c r="C87" s="107"/>
      <c r="D87" s="107"/>
      <c r="E87" s="107"/>
    </row>
    <row r="88" spans="1:5" s="66" customFormat="1" ht="38.25" customHeight="1">
      <c r="A88" s="105" t="s">
        <v>177</v>
      </c>
      <c r="B88" s="110" t="s">
        <v>1047</v>
      </c>
      <c r="C88" s="107">
        <f>28139.1+5819</f>
        <v>33958.1</v>
      </c>
      <c r="D88" s="107">
        <v>10418.700000000001</v>
      </c>
      <c r="E88" s="107">
        <v>10731.9</v>
      </c>
    </row>
    <row r="89" spans="1:5" s="66" customFormat="1" ht="57" customHeight="1">
      <c r="A89" s="105" t="s">
        <v>178</v>
      </c>
      <c r="B89" s="110" t="s">
        <v>1049</v>
      </c>
      <c r="C89" s="107">
        <v>8605.7999999999993</v>
      </c>
      <c r="D89" s="107">
        <v>8596.6</v>
      </c>
      <c r="E89" s="107">
        <v>8596.6</v>
      </c>
    </row>
    <row r="90" spans="1:5" s="66" customFormat="1" ht="81.75" customHeight="1">
      <c r="A90" s="105" t="s">
        <v>330</v>
      </c>
      <c r="B90" s="110" t="s">
        <v>1050</v>
      </c>
      <c r="C90" s="107">
        <v>4293.8999999999996</v>
      </c>
      <c r="D90" s="107">
        <v>8587.6</v>
      </c>
      <c r="E90" s="107">
        <v>7514.2</v>
      </c>
    </row>
    <row r="91" spans="1:5" s="66" customFormat="1" ht="81.75" customHeight="1">
      <c r="A91" s="105" t="s">
        <v>935</v>
      </c>
      <c r="B91" s="110" t="s">
        <v>1051</v>
      </c>
      <c r="C91" s="107">
        <v>16.100000000000001</v>
      </c>
      <c r="D91" s="107">
        <v>16.899999999999999</v>
      </c>
      <c r="E91" s="107">
        <v>17.7</v>
      </c>
    </row>
    <row r="92" spans="1:5" s="66" customFormat="1" ht="42" customHeight="1">
      <c r="A92" s="105" t="s">
        <v>331</v>
      </c>
      <c r="B92" s="110" t="s">
        <v>1052</v>
      </c>
      <c r="C92" s="107">
        <f>432347.4+2377.6</f>
        <v>434725</v>
      </c>
      <c r="D92" s="107">
        <v>449589.3</v>
      </c>
      <c r="E92" s="107">
        <v>471190.2</v>
      </c>
    </row>
    <row r="93" spans="1:5" s="66" customFormat="1" ht="51.75" hidden="1" customHeight="1">
      <c r="A93" s="181" t="s">
        <v>1027</v>
      </c>
      <c r="B93" s="110" t="s">
        <v>1026</v>
      </c>
      <c r="C93" s="107"/>
      <c r="D93" s="107"/>
      <c r="E93" s="107"/>
    </row>
    <row r="94" spans="1:5" s="109" customFormat="1" ht="111.75" customHeight="1">
      <c r="A94" s="115" t="s">
        <v>504</v>
      </c>
      <c r="B94" s="110" t="s">
        <v>1053</v>
      </c>
      <c r="C94" s="107">
        <v>0</v>
      </c>
      <c r="D94" s="107">
        <v>0</v>
      </c>
      <c r="E94" s="107">
        <v>0</v>
      </c>
    </row>
    <row r="95" spans="1:5" s="109" customFormat="1" ht="66.75" customHeight="1">
      <c r="A95" s="115" t="s">
        <v>974</v>
      </c>
      <c r="B95" s="110" t="s">
        <v>1055</v>
      </c>
      <c r="C95" s="107">
        <v>0</v>
      </c>
      <c r="D95" s="107">
        <v>0</v>
      </c>
      <c r="E95" s="107">
        <v>0</v>
      </c>
    </row>
    <row r="96" spans="1:5" s="66" customFormat="1" ht="47.25" customHeight="1">
      <c r="A96" s="105" t="s">
        <v>531</v>
      </c>
      <c r="B96" s="110" t="s">
        <v>1054</v>
      </c>
      <c r="C96" s="107">
        <v>-1042.7</v>
      </c>
      <c r="D96" s="107">
        <v>0</v>
      </c>
      <c r="E96" s="107">
        <v>0</v>
      </c>
    </row>
    <row r="97" spans="1:5" ht="42" customHeight="1">
      <c r="A97" s="75" t="s">
        <v>165</v>
      </c>
      <c r="B97" s="59">
        <v>958</v>
      </c>
      <c r="C97" s="50">
        <f>C98</f>
        <v>324.8</v>
      </c>
      <c r="D97" s="50">
        <f t="shared" ref="D97:E97" si="2">D98</f>
        <v>0</v>
      </c>
      <c r="E97" s="50">
        <f t="shared" si="2"/>
        <v>0</v>
      </c>
    </row>
    <row r="98" spans="1:5" ht="42" customHeight="1">
      <c r="A98" s="76" t="s">
        <v>84</v>
      </c>
      <c r="B98" s="60" t="s">
        <v>752</v>
      </c>
      <c r="C98" s="51">
        <v>324.8</v>
      </c>
      <c r="D98" s="51">
        <v>0</v>
      </c>
      <c r="E98" s="51">
        <v>0</v>
      </c>
    </row>
    <row r="99" spans="1:5" ht="42" customHeight="1">
      <c r="A99" s="75" t="s">
        <v>29</v>
      </c>
      <c r="B99" s="59" t="s">
        <v>76</v>
      </c>
      <c r="C99" s="50">
        <f>C100+C101+C104+C105+C106+C107+C108+C109+C110+C103+C102</f>
        <v>12135.099999999999</v>
      </c>
      <c r="D99" s="50">
        <f t="shared" ref="D99:E99" si="3">D100+D101+D104+D105+D106+D107+D108+D109+D110+D103+D102</f>
        <v>10974.9</v>
      </c>
      <c r="E99" s="50">
        <f t="shared" si="3"/>
        <v>10983.7</v>
      </c>
    </row>
    <row r="100" spans="1:5" ht="50.25" customHeight="1">
      <c r="A100" s="76" t="s">
        <v>183</v>
      </c>
      <c r="B100" s="60" t="s">
        <v>184</v>
      </c>
      <c r="C100" s="51">
        <v>40</v>
      </c>
      <c r="D100" s="98">
        <v>40</v>
      </c>
      <c r="E100" s="98">
        <v>40</v>
      </c>
    </row>
    <row r="101" spans="1:5" ht="77.25" customHeight="1">
      <c r="A101" s="76" t="s">
        <v>77</v>
      </c>
      <c r="B101" s="60" t="s">
        <v>185</v>
      </c>
      <c r="C101" s="51">
        <v>3188</v>
      </c>
      <c r="D101" s="98">
        <v>3244</v>
      </c>
      <c r="E101" s="98">
        <v>3225</v>
      </c>
    </row>
    <row r="102" spans="1:5" s="66" customFormat="1" ht="87.75" customHeight="1">
      <c r="A102" s="213" t="s">
        <v>28</v>
      </c>
      <c r="B102" s="110" t="s">
        <v>1069</v>
      </c>
      <c r="C102" s="107">
        <f>7088.2-1000</f>
        <v>6088.2</v>
      </c>
      <c r="D102" s="107">
        <v>5670.6</v>
      </c>
      <c r="E102" s="107">
        <v>5670.6</v>
      </c>
    </row>
    <row r="103" spans="1:5" ht="77.25" hidden="1" customHeight="1">
      <c r="A103" s="133" t="s">
        <v>926</v>
      </c>
      <c r="B103" s="161" t="s">
        <v>925</v>
      </c>
      <c r="C103" s="51"/>
      <c r="D103" s="101"/>
      <c r="E103" s="101"/>
    </row>
    <row r="104" spans="1:5" ht="78.75" customHeight="1">
      <c r="A104" s="76" t="s">
        <v>333</v>
      </c>
      <c r="B104" s="60" t="s">
        <v>325</v>
      </c>
      <c r="C104" s="51">
        <v>110.1</v>
      </c>
      <c r="D104" s="98">
        <v>100</v>
      </c>
      <c r="E104" s="98">
        <v>90</v>
      </c>
    </row>
    <row r="105" spans="1:5" ht="67.5" customHeight="1">
      <c r="A105" s="76" t="s">
        <v>157</v>
      </c>
      <c r="B105" s="60" t="s">
        <v>158</v>
      </c>
      <c r="C105" s="51">
        <f>146</f>
        <v>146</v>
      </c>
      <c r="D105" s="98">
        <f>146</f>
        <v>146</v>
      </c>
      <c r="E105" s="98">
        <f>146</f>
        <v>146</v>
      </c>
    </row>
    <row r="106" spans="1:5" ht="51.75" customHeight="1">
      <c r="A106" s="76" t="s">
        <v>503</v>
      </c>
      <c r="B106" s="60" t="s">
        <v>502</v>
      </c>
      <c r="C106" s="51">
        <v>0</v>
      </c>
      <c r="D106" s="51">
        <v>0</v>
      </c>
      <c r="E106" s="51">
        <v>0</v>
      </c>
    </row>
    <row r="107" spans="1:5" ht="63" customHeight="1">
      <c r="A107" s="76" t="s">
        <v>186</v>
      </c>
      <c r="B107" s="60" t="s">
        <v>187</v>
      </c>
      <c r="C107" s="51">
        <v>829.9</v>
      </c>
      <c r="D107" s="98">
        <v>829.9</v>
      </c>
      <c r="E107" s="98">
        <v>829.9</v>
      </c>
    </row>
    <row r="108" spans="1:5" s="66" customFormat="1" ht="39" customHeight="1">
      <c r="A108" s="212" t="s">
        <v>84</v>
      </c>
      <c r="B108" s="110" t="s">
        <v>752</v>
      </c>
      <c r="C108" s="107">
        <v>32.9</v>
      </c>
      <c r="D108" s="114">
        <v>0</v>
      </c>
      <c r="E108" s="114">
        <v>0</v>
      </c>
    </row>
    <row r="109" spans="1:5" ht="88.5" hidden="1" customHeight="1">
      <c r="A109" s="76" t="s">
        <v>780</v>
      </c>
      <c r="B109" s="60" t="s">
        <v>779</v>
      </c>
      <c r="C109" s="51"/>
      <c r="D109" s="101"/>
      <c r="E109" s="101"/>
    </row>
    <row r="110" spans="1:5" ht="88.5" customHeight="1">
      <c r="A110" s="76" t="s">
        <v>500</v>
      </c>
      <c r="B110" s="60" t="s">
        <v>501</v>
      </c>
      <c r="C110" s="51">
        <f>908.1+791.9</f>
        <v>1700</v>
      </c>
      <c r="D110" s="98">
        <v>944.4</v>
      </c>
      <c r="E110" s="98">
        <v>982.2</v>
      </c>
    </row>
    <row r="111" spans="1:5" ht="72" customHeight="1">
      <c r="A111" s="75" t="s">
        <v>332</v>
      </c>
      <c r="B111" s="59" t="s">
        <v>45</v>
      </c>
      <c r="C111" s="50">
        <f>C112+C113+C114+C115+C116+C117+C118+C119+C120</f>
        <v>38000</v>
      </c>
      <c r="D111" s="50">
        <f>D112+D113+D114+D115+D116+D117+D118+D119+D120</f>
        <v>32500</v>
      </c>
      <c r="E111" s="50">
        <f>E112+E113+E114+E115+E116+E117+E118+E119+E120</f>
        <v>30000</v>
      </c>
    </row>
    <row r="112" spans="1:5" ht="90" customHeight="1">
      <c r="A112" s="76" t="s">
        <v>188</v>
      </c>
      <c r="B112" s="60" t="s">
        <v>189</v>
      </c>
      <c r="C112" s="51">
        <v>27000</v>
      </c>
      <c r="D112" s="98">
        <v>27000</v>
      </c>
      <c r="E112" s="98">
        <v>25000</v>
      </c>
    </row>
    <row r="113" spans="1:5" ht="95.25" customHeight="1">
      <c r="A113" s="76" t="s">
        <v>27</v>
      </c>
      <c r="B113" s="60" t="s">
        <v>179</v>
      </c>
      <c r="C113" s="51">
        <v>2000</v>
      </c>
      <c r="D113" s="98">
        <v>1500</v>
      </c>
      <c r="E113" s="98">
        <v>1000</v>
      </c>
    </row>
    <row r="114" spans="1:5" ht="70.5" hidden="1" customHeight="1">
      <c r="A114" s="76" t="s">
        <v>926</v>
      </c>
      <c r="B114" s="60" t="s">
        <v>927</v>
      </c>
      <c r="C114" s="51"/>
      <c r="D114" s="139"/>
      <c r="E114" s="139"/>
    </row>
    <row r="115" spans="1:5" ht="111" customHeight="1">
      <c r="A115" s="76" t="s">
        <v>190</v>
      </c>
      <c r="B115" s="60" t="s">
        <v>191</v>
      </c>
      <c r="C115" s="51">
        <f>8000-4000</f>
        <v>4000</v>
      </c>
      <c r="D115" s="101">
        <v>0</v>
      </c>
      <c r="E115" s="101">
        <v>0</v>
      </c>
    </row>
    <row r="116" spans="1:5" ht="63" customHeight="1">
      <c r="A116" s="76" t="s">
        <v>192</v>
      </c>
      <c r="B116" s="60" t="s">
        <v>193</v>
      </c>
      <c r="C116" s="51">
        <v>5000</v>
      </c>
      <c r="D116" s="98">
        <v>4000</v>
      </c>
      <c r="E116" s="98">
        <v>4000</v>
      </c>
    </row>
    <row r="117" spans="1:5" ht="75" hidden="1" customHeight="1">
      <c r="A117" s="76" t="s">
        <v>933</v>
      </c>
      <c r="B117" s="60" t="s">
        <v>932</v>
      </c>
      <c r="C117" s="51"/>
      <c r="D117" s="51"/>
      <c r="E117" s="51"/>
    </row>
    <row r="118" spans="1:5" ht="63" hidden="1" customHeight="1">
      <c r="A118" s="76" t="s">
        <v>157</v>
      </c>
      <c r="B118" s="60" t="s">
        <v>928</v>
      </c>
      <c r="C118" s="51"/>
      <c r="D118" s="51"/>
      <c r="E118" s="51"/>
    </row>
    <row r="119" spans="1:5" ht="47.25" hidden="1" customHeight="1">
      <c r="A119" s="76" t="s">
        <v>503</v>
      </c>
      <c r="B119" s="60" t="s">
        <v>502</v>
      </c>
      <c r="C119" s="51"/>
      <c r="D119" s="51"/>
      <c r="E119" s="51"/>
    </row>
    <row r="120" spans="1:5" ht="46.5" hidden="1" customHeight="1">
      <c r="A120" s="76" t="s">
        <v>84</v>
      </c>
      <c r="B120" s="60" t="s">
        <v>752</v>
      </c>
      <c r="C120" s="51"/>
      <c r="D120" s="51"/>
      <c r="E120" s="51"/>
    </row>
    <row r="121" spans="1:5" ht="25.5" customHeight="1">
      <c r="A121" s="241" t="s">
        <v>196</v>
      </c>
      <c r="B121" s="242"/>
      <c r="C121" s="50">
        <f>1165700.5+8223.2-1042.7-5000+324.8</f>
        <v>1168205.8</v>
      </c>
      <c r="D121" s="50">
        <v>1100993.1000000001</v>
      </c>
      <c r="E121" s="50">
        <v>1104024.5</v>
      </c>
    </row>
    <row r="122" spans="1:5" hidden="1">
      <c r="A122" s="61"/>
      <c r="B122" s="62"/>
      <c r="C122" s="62"/>
      <c r="D122" s="102"/>
      <c r="E122" s="102"/>
    </row>
    <row r="123" spans="1:5" ht="25.5" customHeight="1">
      <c r="A123" s="63"/>
      <c r="B123" s="46"/>
      <c r="C123" s="78">
        <f>C13+C11+C24+C29+C34+C36+C38+C59+C66+C68+C74+C99+C111+C31+C20+C97+C70+C9+C72</f>
        <v>1168205.8</v>
      </c>
      <c r="D123" s="78">
        <f t="shared" ref="D123:E123" si="4">D13+D11+D24+D29+D34+D36+D38+D59+D66+D68+D74+D99+D111+D31+D20+D97+D70+D9+D72</f>
        <v>1100993.0999999999</v>
      </c>
      <c r="E123" s="78">
        <f t="shared" si="4"/>
        <v>1104024.5</v>
      </c>
    </row>
    <row r="124" spans="1:5">
      <c r="A124" s="63"/>
      <c r="B124" s="46"/>
      <c r="C124" s="46"/>
    </row>
    <row r="135" spans="2:2">
      <c r="B135" s="53"/>
    </row>
  </sheetData>
  <mergeCells count="8">
    <mergeCell ref="A1:E1"/>
    <mergeCell ref="A2:E2"/>
    <mergeCell ref="A5:E5"/>
    <mergeCell ref="C6:E7"/>
    <mergeCell ref="A121:B121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3" fitToHeight="0" orientation="portrait" useFirstPageNumber="1" r:id="rId1"/>
  <rowBreaks count="5" manualBreakCount="5">
    <brk id="22" max="4" man="1"/>
    <brk id="39" max="4" man="1"/>
    <brk id="59" max="4" man="1"/>
    <brk id="88" max="4" man="1"/>
    <brk id="10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7" customWidth="1"/>
    <col min="2" max="2" width="29.77734375" style="71" customWidth="1"/>
    <col min="3" max="3" width="4.109375" style="70" customWidth="1"/>
    <col min="4" max="4" width="5.6640625" style="47" customWidth="1"/>
    <col min="5" max="5" width="6.77734375" style="47" customWidth="1"/>
    <col min="6" max="6" width="4.88671875" style="47" hidden="1" customWidth="1"/>
    <col min="7" max="7" width="4.77734375" style="47" customWidth="1"/>
    <col min="8" max="8" width="8.44140625" style="48" customWidth="1"/>
    <col min="9" max="10" width="8.109375" style="47" customWidth="1"/>
    <col min="11" max="16384" width="10.6640625" style="2"/>
  </cols>
  <sheetData>
    <row r="1" spans="1:10" s="3" customFormat="1" ht="116.25" customHeight="1">
      <c r="A1" s="7"/>
      <c r="B1" s="71"/>
      <c r="C1" s="245" t="s">
        <v>276</v>
      </c>
      <c r="D1" s="245"/>
      <c r="E1" s="245"/>
      <c r="F1" s="245"/>
      <c r="G1" s="245"/>
      <c r="H1" s="245"/>
      <c r="I1" s="245"/>
      <c r="J1" s="245"/>
    </row>
    <row r="2" spans="1:10" ht="15.75" customHeight="1">
      <c r="A2" s="266" t="s">
        <v>0</v>
      </c>
      <c r="B2" s="266"/>
      <c r="C2" s="266"/>
      <c r="D2" s="266"/>
      <c r="E2" s="266"/>
      <c r="F2" s="266"/>
      <c r="G2" s="266"/>
      <c r="H2" s="266"/>
      <c r="I2" s="266"/>
      <c r="J2" s="266"/>
    </row>
    <row r="3" spans="1:10" ht="17.25" customHeight="1">
      <c r="A3" s="266" t="s">
        <v>278</v>
      </c>
      <c r="B3" s="266"/>
      <c r="C3" s="266"/>
      <c r="D3" s="266"/>
      <c r="E3" s="266"/>
      <c r="F3" s="266"/>
      <c r="G3" s="266"/>
      <c r="H3" s="266"/>
      <c r="I3" s="266"/>
      <c r="J3" s="266"/>
    </row>
    <row r="4" spans="1:10" ht="18.75" customHeight="1">
      <c r="A4" s="266" t="s">
        <v>277</v>
      </c>
      <c r="B4" s="266"/>
      <c r="C4" s="266"/>
      <c r="D4" s="266"/>
      <c r="E4" s="266"/>
      <c r="F4" s="266"/>
      <c r="G4" s="266"/>
      <c r="H4" s="266"/>
      <c r="I4" s="266"/>
      <c r="J4" s="266"/>
    </row>
    <row r="6" spans="1:10" ht="15">
      <c r="J6" s="49" t="s">
        <v>1</v>
      </c>
    </row>
    <row r="7" spans="1:10" ht="76.5" customHeight="1">
      <c r="A7" s="35" t="s">
        <v>79</v>
      </c>
      <c r="B7" s="274" t="s">
        <v>281</v>
      </c>
      <c r="C7" s="275"/>
      <c r="D7" s="36" t="s">
        <v>280</v>
      </c>
      <c r="E7" s="36" t="s">
        <v>71</v>
      </c>
      <c r="F7" s="36" t="s">
        <v>72</v>
      </c>
      <c r="G7" s="36" t="s">
        <v>69</v>
      </c>
      <c r="H7" s="37" t="s">
        <v>146</v>
      </c>
      <c r="I7" s="37" t="s">
        <v>244</v>
      </c>
      <c r="J7" s="37" t="s">
        <v>279</v>
      </c>
    </row>
    <row r="8" spans="1:10" ht="76.5" customHeight="1">
      <c r="A8" s="248" t="s">
        <v>32</v>
      </c>
      <c r="B8" s="252"/>
      <c r="C8" s="252"/>
      <c r="D8" s="30"/>
      <c r="E8" s="31"/>
      <c r="F8" s="31"/>
      <c r="G8" s="30"/>
      <c r="H8" s="67">
        <f>SUM(H9:H10)</f>
        <v>0</v>
      </c>
      <c r="I8" s="67">
        <f>SUM(I9:I10)</f>
        <v>0</v>
      </c>
      <c r="J8" s="67">
        <f>SUM(J9:J10)</f>
        <v>0</v>
      </c>
    </row>
    <row r="9" spans="1:10" ht="21" customHeight="1">
      <c r="A9" s="265"/>
      <c r="B9" s="268"/>
      <c r="C9" s="269"/>
      <c r="D9" s="30"/>
      <c r="E9" s="31"/>
      <c r="F9" s="30"/>
      <c r="G9" s="30"/>
      <c r="H9" s="68"/>
      <c r="I9" s="68"/>
      <c r="J9" s="68"/>
    </row>
    <row r="10" spans="1:10" ht="21.75" customHeight="1">
      <c r="A10" s="249"/>
      <c r="B10" s="270"/>
      <c r="C10" s="271"/>
      <c r="D10" s="30"/>
      <c r="E10" s="31"/>
      <c r="F10" s="30"/>
      <c r="G10" s="30"/>
      <c r="H10" s="34"/>
      <c r="I10" s="34"/>
      <c r="J10" s="34"/>
    </row>
    <row r="11" spans="1:10" ht="66" customHeight="1">
      <c r="A11" s="248" t="s">
        <v>33</v>
      </c>
      <c r="B11" s="252"/>
      <c r="C11" s="252"/>
      <c r="D11" s="30"/>
      <c r="E11" s="31"/>
      <c r="F11" s="31"/>
      <c r="G11" s="30"/>
      <c r="H11" s="67">
        <f>SUM(H12:H16)</f>
        <v>0</v>
      </c>
      <c r="I11" s="67">
        <f>SUM(I12:I16)</f>
        <v>0</v>
      </c>
      <c r="J11" s="67">
        <f>SUM(J12:J16)</f>
        <v>0</v>
      </c>
    </row>
    <row r="12" spans="1:10" ht="62.25" customHeight="1">
      <c r="A12" s="265"/>
      <c r="B12" s="253"/>
      <c r="C12" s="253"/>
      <c r="D12" s="30"/>
      <c r="E12" s="31"/>
      <c r="F12" s="31"/>
      <c r="G12" s="30"/>
      <c r="H12" s="68"/>
      <c r="I12" s="68"/>
      <c r="J12" s="68"/>
    </row>
    <row r="13" spans="1:10" ht="45.75" customHeight="1">
      <c r="A13" s="265"/>
      <c r="B13" s="253"/>
      <c r="C13" s="253"/>
      <c r="D13" s="30"/>
      <c r="E13" s="31"/>
      <c r="F13" s="30"/>
      <c r="G13" s="30"/>
      <c r="H13" s="68"/>
      <c r="I13" s="68"/>
      <c r="J13" s="68"/>
    </row>
    <row r="14" spans="1:10" ht="42" hidden="1" customHeight="1">
      <c r="A14" s="265"/>
      <c r="B14" s="261"/>
      <c r="C14" s="261"/>
      <c r="D14" s="32"/>
      <c r="E14" s="33"/>
      <c r="F14" s="33"/>
      <c r="G14" s="32"/>
      <c r="H14" s="39"/>
      <c r="I14" s="39"/>
      <c r="J14" s="39"/>
    </row>
    <row r="15" spans="1:10" ht="23.25" hidden="1" customHeight="1">
      <c r="A15" s="265"/>
      <c r="B15" s="264"/>
      <c r="C15" s="264"/>
      <c r="D15" s="32"/>
      <c r="E15" s="33"/>
      <c r="F15" s="33"/>
      <c r="G15" s="32"/>
      <c r="H15" s="40"/>
      <c r="I15" s="40"/>
      <c r="J15" s="40"/>
    </row>
    <row r="16" spans="1:10" ht="43.5" customHeight="1">
      <c r="A16" s="249"/>
      <c r="B16" s="272"/>
      <c r="C16" s="273"/>
      <c r="D16" s="32"/>
      <c r="E16" s="33"/>
      <c r="F16" s="33"/>
      <c r="G16" s="32"/>
      <c r="H16" s="40"/>
      <c r="I16" s="40"/>
      <c r="J16" s="40"/>
    </row>
    <row r="17" spans="1:11" ht="39" customHeight="1">
      <c r="A17" s="254" t="s">
        <v>34</v>
      </c>
      <c r="B17" s="261"/>
      <c r="C17" s="260"/>
      <c r="D17" s="32"/>
      <c r="E17" s="33"/>
      <c r="F17" s="33"/>
      <c r="G17" s="32"/>
      <c r="H17" s="67">
        <f>SUM(H18:H22)</f>
        <v>0</v>
      </c>
      <c r="I17" s="67">
        <f>SUM(I18:I22)</f>
        <v>0</v>
      </c>
      <c r="J17" s="67">
        <f>SUM(J18:J22)</f>
        <v>0</v>
      </c>
    </row>
    <row r="18" spans="1:11" ht="43.5" customHeight="1">
      <c r="A18" s="254"/>
      <c r="B18" s="253"/>
      <c r="C18" s="253"/>
      <c r="D18" s="30"/>
      <c r="E18" s="31"/>
      <c r="F18" s="30"/>
      <c r="G18" s="30"/>
      <c r="H18" s="68"/>
      <c r="I18" s="68"/>
      <c r="J18" s="68"/>
    </row>
    <row r="19" spans="1:11" ht="36.75" customHeight="1">
      <c r="A19" s="254"/>
      <c r="B19" s="253"/>
      <c r="C19" s="253"/>
      <c r="D19" s="44"/>
      <c r="E19" s="31"/>
      <c r="F19" s="30"/>
      <c r="G19" s="30"/>
      <c r="H19" s="68"/>
      <c r="I19" s="68"/>
      <c r="J19" s="68"/>
    </row>
    <row r="20" spans="1:11" ht="18.75" customHeight="1">
      <c r="A20" s="254"/>
      <c r="B20" s="268"/>
      <c r="C20" s="269"/>
      <c r="D20" s="30"/>
      <c r="E20" s="31"/>
      <c r="F20" s="30"/>
      <c r="G20" s="30"/>
      <c r="H20" s="68"/>
      <c r="I20" s="68"/>
      <c r="J20" s="68"/>
    </row>
    <row r="21" spans="1:11" ht="28.5" customHeight="1">
      <c r="A21" s="254"/>
      <c r="B21" s="270"/>
      <c r="C21" s="271"/>
      <c r="D21" s="30"/>
      <c r="E21" s="31"/>
      <c r="F21" s="30"/>
      <c r="G21" s="30"/>
      <c r="H21" s="68"/>
      <c r="I21" s="68"/>
      <c r="J21" s="68"/>
    </row>
    <row r="22" spans="1:11" ht="33" customHeight="1">
      <c r="A22" s="254"/>
      <c r="B22" s="267"/>
      <c r="C22" s="267"/>
      <c r="D22" s="30"/>
      <c r="E22" s="31"/>
      <c r="F22" s="31"/>
      <c r="G22" s="30"/>
      <c r="H22" s="68"/>
      <c r="I22" s="68"/>
      <c r="J22" s="68"/>
    </row>
    <row r="23" spans="1:11" ht="63" customHeight="1">
      <c r="A23" s="254" t="s">
        <v>35</v>
      </c>
      <c r="B23" s="252"/>
      <c r="C23" s="255"/>
      <c r="D23" s="30"/>
      <c r="E23" s="31"/>
      <c r="F23" s="31"/>
      <c r="G23" s="30"/>
      <c r="H23" s="67">
        <f>SUM(H24)</f>
        <v>0</v>
      </c>
      <c r="I23" s="67">
        <f>SUM(I24)</f>
        <v>0</v>
      </c>
      <c r="J23" s="67">
        <f>SUM(J24)</f>
        <v>0</v>
      </c>
    </row>
    <row r="24" spans="1:11" ht="51.75" customHeight="1">
      <c r="A24" s="254"/>
      <c r="B24" s="256"/>
      <c r="C24" s="257"/>
      <c r="D24" s="30"/>
      <c r="E24" s="31"/>
      <c r="F24" s="31"/>
      <c r="G24" s="30"/>
      <c r="H24" s="34"/>
      <c r="I24" s="34"/>
      <c r="J24" s="34"/>
    </row>
    <row r="25" spans="1:11" ht="106.5" customHeight="1">
      <c r="A25" s="254" t="s">
        <v>36</v>
      </c>
      <c r="B25" s="252"/>
      <c r="C25" s="252"/>
      <c r="D25" s="30"/>
      <c r="E25" s="31"/>
      <c r="F25" s="30"/>
      <c r="G25" s="30"/>
      <c r="H25" s="67">
        <f>SUM(H26)</f>
        <v>0</v>
      </c>
      <c r="I25" s="67">
        <f>SUM(I26)</f>
        <v>0</v>
      </c>
      <c r="J25" s="67">
        <f>SUM(J26)</f>
        <v>0</v>
      </c>
    </row>
    <row r="26" spans="1:11" ht="33" customHeight="1">
      <c r="A26" s="254"/>
      <c r="B26" s="253"/>
      <c r="C26" s="253"/>
      <c r="D26" s="30"/>
      <c r="E26" s="31"/>
      <c r="F26" s="30"/>
      <c r="G26" s="30"/>
      <c r="H26" s="69"/>
      <c r="I26" s="69"/>
      <c r="J26" s="69"/>
      <c r="K26" s="45"/>
    </row>
    <row r="27" spans="1:11" ht="126" customHeight="1">
      <c r="A27" s="248" t="s">
        <v>89</v>
      </c>
      <c r="B27" s="252"/>
      <c r="C27" s="252"/>
      <c r="D27" s="30"/>
      <c r="E27" s="31"/>
      <c r="F27" s="30"/>
      <c r="G27" s="30"/>
      <c r="H27" s="67">
        <f>H28</f>
        <v>0</v>
      </c>
      <c r="I27" s="67">
        <f>I28</f>
        <v>0</v>
      </c>
      <c r="J27" s="67">
        <f>J28</f>
        <v>0</v>
      </c>
    </row>
    <row r="28" spans="1:11" ht="32.25" customHeight="1">
      <c r="A28" s="249"/>
      <c r="B28" s="253"/>
      <c r="C28" s="253"/>
      <c r="D28" s="30"/>
      <c r="E28" s="31"/>
      <c r="F28" s="30"/>
      <c r="G28" s="30"/>
      <c r="H28" s="69"/>
      <c r="I28" s="69"/>
      <c r="J28" s="69"/>
      <c r="K28" s="45"/>
    </row>
    <row r="29" spans="1:11" ht="63.75" customHeight="1">
      <c r="A29" s="248" t="s">
        <v>90</v>
      </c>
      <c r="B29" s="252"/>
      <c r="C29" s="252"/>
      <c r="D29" s="30"/>
      <c r="E29" s="31"/>
      <c r="F29" s="30"/>
      <c r="G29" s="30"/>
      <c r="H29" s="67">
        <f>H30</f>
        <v>0</v>
      </c>
      <c r="I29" s="67">
        <f>I30</f>
        <v>0</v>
      </c>
      <c r="J29" s="67">
        <f>J30</f>
        <v>0</v>
      </c>
    </row>
    <row r="30" spans="1:11" ht="25.5" customHeight="1">
      <c r="A30" s="249"/>
      <c r="B30" s="253"/>
      <c r="C30" s="253"/>
      <c r="D30" s="30"/>
      <c r="E30" s="31"/>
      <c r="F30" s="30"/>
      <c r="G30" s="30"/>
      <c r="H30" s="69"/>
      <c r="I30" s="69"/>
      <c r="J30" s="69"/>
      <c r="K30" s="45"/>
    </row>
    <row r="31" spans="1:11" ht="74.25" customHeight="1">
      <c r="A31" s="248" t="s">
        <v>91</v>
      </c>
      <c r="B31" s="250"/>
      <c r="C31" s="251"/>
      <c r="D31" s="30"/>
      <c r="E31" s="31"/>
      <c r="F31" s="30"/>
      <c r="G31" s="30"/>
      <c r="H31" s="67">
        <f>SUM(H32:H34)</f>
        <v>0</v>
      </c>
      <c r="I31" s="67">
        <f>SUM(I32:I34)</f>
        <v>0</v>
      </c>
      <c r="J31" s="67">
        <f>SUM(J32:J34)</f>
        <v>0</v>
      </c>
    </row>
    <row r="32" spans="1:11" ht="41.25" customHeight="1">
      <c r="A32" s="265"/>
      <c r="B32" s="246"/>
      <c r="C32" s="247"/>
      <c r="D32" s="30"/>
      <c r="E32" s="31"/>
      <c r="F32" s="30"/>
      <c r="G32" s="30"/>
      <c r="H32" s="68"/>
      <c r="I32" s="68"/>
      <c r="J32" s="68"/>
    </row>
    <row r="33" spans="1:10" ht="33.75" customHeight="1">
      <c r="A33" s="265"/>
      <c r="B33" s="246"/>
      <c r="C33" s="247"/>
      <c r="D33" s="30"/>
      <c r="E33" s="31"/>
      <c r="F33" s="30"/>
      <c r="G33" s="30"/>
      <c r="H33" s="68"/>
      <c r="I33" s="68"/>
      <c r="J33" s="68"/>
    </row>
    <row r="34" spans="1:10" ht="59.25" customHeight="1">
      <c r="A34" s="249"/>
      <c r="B34" s="246"/>
      <c r="C34" s="247"/>
      <c r="D34" s="30"/>
      <c r="E34" s="31"/>
      <c r="F34" s="30"/>
      <c r="G34" s="30"/>
      <c r="H34" s="68"/>
      <c r="I34" s="68"/>
      <c r="J34" s="68"/>
    </row>
    <row r="35" spans="1:10" ht="65.25" customHeight="1">
      <c r="A35" s="248" t="s">
        <v>92</v>
      </c>
      <c r="B35" s="250"/>
      <c r="C35" s="251"/>
      <c r="D35" s="30"/>
      <c r="E35" s="31"/>
      <c r="F35" s="30"/>
      <c r="G35" s="30"/>
      <c r="H35" s="67">
        <f>H36</f>
        <v>0</v>
      </c>
      <c r="I35" s="67">
        <f>I36</f>
        <v>0</v>
      </c>
      <c r="J35" s="67">
        <f>J36</f>
        <v>0</v>
      </c>
    </row>
    <row r="36" spans="1:10" ht="38.25" customHeight="1">
      <c r="A36" s="249"/>
      <c r="B36" s="246"/>
      <c r="C36" s="247"/>
      <c r="D36" s="30"/>
      <c r="E36" s="31"/>
      <c r="F36" s="30"/>
      <c r="G36" s="30"/>
      <c r="H36" s="34"/>
      <c r="I36" s="34"/>
      <c r="J36" s="34"/>
    </row>
    <row r="37" spans="1:10" ht="54" customHeight="1">
      <c r="A37" s="248" t="s">
        <v>93</v>
      </c>
      <c r="B37" s="250"/>
      <c r="C37" s="251"/>
      <c r="D37" s="30"/>
      <c r="E37" s="31"/>
      <c r="F37" s="30"/>
      <c r="G37" s="30"/>
      <c r="H37" s="67">
        <f>SUM(H38:H40)</f>
        <v>0</v>
      </c>
      <c r="I37" s="67">
        <f>SUM(I38:I40)</f>
        <v>0</v>
      </c>
      <c r="J37" s="67">
        <f>SUM(J38:J40)</f>
        <v>0</v>
      </c>
    </row>
    <row r="38" spans="1:10" ht="22.5" customHeight="1">
      <c r="A38" s="265"/>
      <c r="B38" s="268"/>
      <c r="C38" s="269"/>
      <c r="D38" s="30"/>
      <c r="E38" s="31"/>
      <c r="F38" s="30"/>
      <c r="G38" s="30"/>
      <c r="H38" s="68"/>
      <c r="I38" s="68"/>
      <c r="J38" s="68"/>
    </row>
    <row r="39" spans="1:10" ht="26.25" customHeight="1">
      <c r="A39" s="265"/>
      <c r="B39" s="270"/>
      <c r="C39" s="271"/>
      <c r="D39" s="30"/>
      <c r="E39" s="31"/>
      <c r="F39" s="30"/>
      <c r="G39" s="30"/>
      <c r="H39" s="34"/>
      <c r="I39" s="34"/>
      <c r="J39" s="34"/>
    </row>
    <row r="40" spans="1:10" ht="26.25" customHeight="1">
      <c r="A40" s="249"/>
      <c r="B40" s="246"/>
      <c r="C40" s="247"/>
      <c r="D40" s="30"/>
      <c r="E40" s="31"/>
      <c r="F40" s="30"/>
      <c r="G40" s="30"/>
      <c r="H40" s="34"/>
      <c r="I40" s="34"/>
      <c r="J40" s="34"/>
    </row>
    <row r="41" spans="1:10" ht="63.75" customHeight="1">
      <c r="A41" s="248" t="s">
        <v>94</v>
      </c>
      <c r="B41" s="250"/>
      <c r="C41" s="251"/>
      <c r="D41" s="30"/>
      <c r="E41" s="31"/>
      <c r="F41" s="30"/>
      <c r="G41" s="30"/>
      <c r="H41" s="67">
        <f>SUM(H42:H43)</f>
        <v>0</v>
      </c>
      <c r="I41" s="67">
        <f>SUM(I42:I43)</f>
        <v>0</v>
      </c>
      <c r="J41" s="67">
        <f>SUM(J42:J43)</f>
        <v>0</v>
      </c>
    </row>
    <row r="42" spans="1:10" ht="39.75" customHeight="1">
      <c r="A42" s="265"/>
      <c r="B42" s="246"/>
      <c r="C42" s="247"/>
      <c r="D42" s="30"/>
      <c r="E42" s="31"/>
      <c r="F42" s="30"/>
      <c r="G42" s="30"/>
      <c r="H42" s="68"/>
      <c r="I42" s="68"/>
      <c r="J42" s="68"/>
    </row>
    <row r="43" spans="1:10" ht="28.5" customHeight="1">
      <c r="A43" s="249"/>
      <c r="B43" s="246"/>
      <c r="C43" s="247"/>
      <c r="D43" s="30"/>
      <c r="E43" s="31"/>
      <c r="F43" s="30"/>
      <c r="G43" s="30"/>
      <c r="H43" s="34"/>
      <c r="I43" s="34"/>
      <c r="J43" s="34"/>
    </row>
    <row r="44" spans="1:10" ht="86.25" customHeight="1">
      <c r="A44" s="254" t="s">
        <v>95</v>
      </c>
      <c r="B44" s="252"/>
      <c r="C44" s="255"/>
      <c r="D44" s="30"/>
      <c r="E44" s="31"/>
      <c r="F44" s="30"/>
      <c r="G44" s="30"/>
      <c r="H44" s="67">
        <f>H45</f>
        <v>0</v>
      </c>
      <c r="I44" s="67">
        <f>I45</f>
        <v>0</v>
      </c>
      <c r="J44" s="67">
        <f>J45</f>
        <v>0</v>
      </c>
    </row>
    <row r="45" spans="1:10" ht="62.25" customHeight="1">
      <c r="A45" s="254"/>
      <c r="B45" s="253"/>
      <c r="C45" s="253"/>
      <c r="D45" s="30"/>
      <c r="E45" s="31"/>
      <c r="F45" s="30"/>
      <c r="G45" s="30"/>
      <c r="H45" s="68"/>
      <c r="I45" s="68"/>
      <c r="J45" s="68"/>
    </row>
    <row r="46" spans="1:10" ht="49.5" customHeight="1">
      <c r="A46" s="248" t="s">
        <v>96</v>
      </c>
      <c r="B46" s="252"/>
      <c r="C46" s="252"/>
      <c r="D46" s="30"/>
      <c r="E46" s="31"/>
      <c r="F46" s="30"/>
      <c r="G46" s="27"/>
      <c r="H46" s="67">
        <f>H47</f>
        <v>0</v>
      </c>
      <c r="I46" s="67">
        <f>I47</f>
        <v>0</v>
      </c>
      <c r="J46" s="67">
        <f>J47</f>
        <v>0</v>
      </c>
    </row>
    <row r="47" spans="1:10" ht="30" customHeight="1">
      <c r="A47" s="249"/>
      <c r="B47" s="253"/>
      <c r="C47" s="253"/>
      <c r="D47" s="30"/>
      <c r="E47" s="31"/>
      <c r="F47" s="30"/>
      <c r="G47" s="30"/>
      <c r="H47" s="34"/>
      <c r="I47" s="34"/>
      <c r="J47" s="34"/>
    </row>
    <row r="48" spans="1:10" ht="57" customHeight="1">
      <c r="A48" s="248" t="s">
        <v>97</v>
      </c>
      <c r="B48" s="252"/>
      <c r="C48" s="252"/>
      <c r="D48" s="30"/>
      <c r="E48" s="31"/>
      <c r="F48" s="30"/>
      <c r="G48" s="30"/>
      <c r="H48" s="67">
        <f>SUM(H49)</f>
        <v>0</v>
      </c>
      <c r="I48" s="67">
        <f>SUM(I49)</f>
        <v>0</v>
      </c>
      <c r="J48" s="67">
        <f>SUM(J49)</f>
        <v>0</v>
      </c>
    </row>
    <row r="49" spans="1:10" ht="40.5" customHeight="1">
      <c r="A49" s="249"/>
      <c r="B49" s="253"/>
      <c r="C49" s="253"/>
      <c r="D49" s="30"/>
      <c r="E49" s="31"/>
      <c r="F49" s="30"/>
      <c r="G49" s="30"/>
      <c r="H49" s="34"/>
      <c r="I49" s="34"/>
      <c r="J49" s="34"/>
    </row>
    <row r="50" spans="1:10" ht="64.5" customHeight="1">
      <c r="A50" s="248" t="s">
        <v>98</v>
      </c>
      <c r="B50" s="250"/>
      <c r="C50" s="251"/>
      <c r="D50" s="30"/>
      <c r="E50" s="31"/>
      <c r="F50" s="30"/>
      <c r="G50" s="30"/>
      <c r="H50" s="38">
        <f>H51</f>
        <v>0</v>
      </c>
      <c r="I50" s="38">
        <f>I51</f>
        <v>0</v>
      </c>
      <c r="J50" s="38">
        <f>J51</f>
        <v>0</v>
      </c>
    </row>
    <row r="51" spans="1:10" ht="38.25" customHeight="1">
      <c r="A51" s="249"/>
      <c r="B51" s="246"/>
      <c r="C51" s="247"/>
      <c r="D51" s="30"/>
      <c r="E51" s="31"/>
      <c r="F51" s="30"/>
      <c r="G51" s="30"/>
      <c r="H51" s="34"/>
      <c r="I51" s="34"/>
      <c r="J51" s="34"/>
    </row>
    <row r="52" spans="1:10" ht="69.75" customHeight="1">
      <c r="A52" s="254" t="s">
        <v>99</v>
      </c>
      <c r="B52" s="252"/>
      <c r="C52" s="255"/>
      <c r="D52" s="31"/>
      <c r="E52" s="31"/>
      <c r="F52" s="31"/>
      <c r="G52" s="31"/>
      <c r="H52" s="67">
        <f>SUM(H53:H54)</f>
        <v>0</v>
      </c>
      <c r="I52" s="67">
        <f>SUM(I53:I54)</f>
        <v>0</v>
      </c>
      <c r="J52" s="67">
        <f>SUM(J53:J54)</f>
        <v>0</v>
      </c>
    </row>
    <row r="53" spans="1:10" ht="27" customHeight="1">
      <c r="A53" s="254"/>
      <c r="B53" s="258"/>
      <c r="C53" s="259"/>
      <c r="D53" s="30"/>
      <c r="E53" s="31"/>
      <c r="F53" s="30"/>
      <c r="G53" s="30"/>
      <c r="H53" s="34"/>
      <c r="I53" s="34"/>
      <c r="J53" s="34"/>
    </row>
    <row r="54" spans="1:10" ht="20.25" customHeight="1">
      <c r="A54" s="254"/>
      <c r="B54" s="262"/>
      <c r="C54" s="263"/>
      <c r="D54" s="30"/>
      <c r="E54" s="31"/>
      <c r="F54" s="30"/>
      <c r="G54" s="30"/>
      <c r="H54" s="34"/>
      <c r="I54" s="34"/>
      <c r="J54" s="34"/>
    </row>
    <row r="55" spans="1:10" ht="96.75" customHeight="1">
      <c r="A55" s="254" t="s">
        <v>100</v>
      </c>
      <c r="B55" s="252"/>
      <c r="C55" s="255"/>
      <c r="D55" s="30"/>
      <c r="E55" s="31"/>
      <c r="F55" s="30"/>
      <c r="G55" s="30"/>
      <c r="H55" s="67">
        <f>SUM(H56)</f>
        <v>0</v>
      </c>
      <c r="I55" s="67">
        <f>SUM(I56)</f>
        <v>0</v>
      </c>
      <c r="J55" s="67">
        <f>SUM(J56)</f>
        <v>0</v>
      </c>
    </row>
    <row r="56" spans="1:10" ht="39" customHeight="1">
      <c r="A56" s="254"/>
      <c r="B56" s="253"/>
      <c r="C56" s="253"/>
      <c r="D56" s="30"/>
      <c r="E56" s="31"/>
      <c r="F56" s="30"/>
      <c r="G56" s="30"/>
      <c r="H56" s="34"/>
      <c r="I56" s="34"/>
      <c r="J56" s="34"/>
    </row>
    <row r="57" spans="1:10" ht="48" customHeight="1">
      <c r="A57" s="254" t="s">
        <v>101</v>
      </c>
      <c r="B57" s="252"/>
      <c r="C57" s="255"/>
      <c r="D57" s="30"/>
      <c r="E57" s="31"/>
      <c r="F57" s="30"/>
      <c r="G57" s="30"/>
      <c r="H57" s="67">
        <f>SUM(H58)</f>
        <v>0</v>
      </c>
      <c r="I57" s="67">
        <f>SUM(I58)</f>
        <v>0</v>
      </c>
      <c r="J57" s="67">
        <f>SUM(J58)</f>
        <v>0</v>
      </c>
    </row>
    <row r="58" spans="1:10" ht="43.5" customHeight="1">
      <c r="A58" s="254"/>
      <c r="B58" s="253"/>
      <c r="C58" s="253"/>
      <c r="D58" s="30"/>
      <c r="E58" s="31"/>
      <c r="F58" s="30"/>
      <c r="G58" s="30"/>
      <c r="H58" s="34"/>
      <c r="I58" s="34"/>
      <c r="J58" s="34"/>
    </row>
    <row r="59" spans="1:10" ht="29.25" customHeight="1">
      <c r="A59" s="254" t="s">
        <v>103</v>
      </c>
      <c r="B59" s="252"/>
      <c r="C59" s="255"/>
      <c r="D59" s="30"/>
      <c r="E59" s="31"/>
      <c r="F59" s="30"/>
      <c r="G59" s="30"/>
      <c r="H59" s="67">
        <f>SUM(H60)</f>
        <v>0</v>
      </c>
      <c r="I59" s="67">
        <f>SUM(I60)</f>
        <v>0</v>
      </c>
      <c r="J59" s="67">
        <f>SUM(J60)</f>
        <v>0</v>
      </c>
    </row>
    <row r="60" spans="1:10" ht="34.5" customHeight="1">
      <c r="A60" s="254"/>
      <c r="B60" s="253"/>
      <c r="C60" s="253"/>
      <c r="D60" s="30"/>
      <c r="E60" s="31"/>
      <c r="F60" s="30"/>
      <c r="G60" s="30"/>
      <c r="H60" s="34"/>
      <c r="I60" s="34"/>
      <c r="J60" s="34"/>
    </row>
    <row r="61" spans="1:10" ht="111.75" customHeight="1">
      <c r="A61" s="254" t="s">
        <v>104</v>
      </c>
      <c r="B61" s="252"/>
      <c r="C61" s="255"/>
      <c r="D61" s="30"/>
      <c r="E61" s="31"/>
      <c r="F61" s="30"/>
      <c r="G61" s="30"/>
      <c r="H61" s="67">
        <f>H62</f>
        <v>0</v>
      </c>
      <c r="I61" s="67">
        <f>I62</f>
        <v>0</v>
      </c>
      <c r="J61" s="67">
        <f>J62</f>
        <v>0</v>
      </c>
    </row>
    <row r="62" spans="1:10" ht="30.75" customHeight="1">
      <c r="A62" s="254"/>
      <c r="B62" s="253"/>
      <c r="C62" s="267"/>
      <c r="D62" s="30"/>
      <c r="E62" s="31"/>
      <c r="F62" s="30"/>
      <c r="G62" s="30"/>
      <c r="H62" s="34"/>
      <c r="I62" s="34"/>
      <c r="J62" s="34"/>
    </row>
    <row r="63" spans="1:10" ht="105" customHeight="1">
      <c r="A63" s="254" t="s">
        <v>105</v>
      </c>
      <c r="B63" s="252"/>
      <c r="C63" s="255"/>
      <c r="D63" s="30"/>
      <c r="E63" s="31"/>
      <c r="F63" s="30"/>
      <c r="G63" s="30"/>
      <c r="H63" s="67">
        <f>H64</f>
        <v>0</v>
      </c>
      <c r="I63" s="67">
        <f>I64</f>
        <v>0</v>
      </c>
      <c r="J63" s="67">
        <f>J64</f>
        <v>0</v>
      </c>
    </row>
    <row r="64" spans="1:10" ht="39.75" customHeight="1">
      <c r="A64" s="254"/>
      <c r="B64" s="253"/>
      <c r="C64" s="253"/>
      <c r="D64" s="30"/>
      <c r="E64" s="31"/>
      <c r="F64" s="30"/>
      <c r="G64" s="30"/>
      <c r="H64" s="34"/>
      <c r="I64" s="34"/>
      <c r="J64" s="34"/>
    </row>
    <row r="65" spans="1:11" ht="76.5" customHeight="1">
      <c r="A65" s="254" t="s">
        <v>106</v>
      </c>
      <c r="B65" s="252"/>
      <c r="C65" s="252"/>
      <c r="D65" s="30"/>
      <c r="E65" s="31"/>
      <c r="F65" s="30"/>
      <c r="G65" s="30"/>
      <c r="H65" s="67">
        <f>SUM(H66:H67)</f>
        <v>0</v>
      </c>
      <c r="I65" s="67">
        <f>SUM(I66:I67)</f>
        <v>0</v>
      </c>
      <c r="J65" s="67">
        <f>SUM(J66:J67)</f>
        <v>0</v>
      </c>
    </row>
    <row r="66" spans="1:11" ht="29.25" customHeight="1">
      <c r="A66" s="254"/>
      <c r="B66" s="258"/>
      <c r="C66" s="259"/>
      <c r="D66" s="30"/>
      <c r="E66" s="31"/>
      <c r="F66" s="30"/>
      <c r="G66" s="30"/>
      <c r="H66" s="68"/>
      <c r="I66" s="68"/>
      <c r="J66" s="68"/>
    </row>
    <row r="67" spans="1:11" ht="23.25" customHeight="1">
      <c r="A67" s="254"/>
      <c r="B67" s="262"/>
      <c r="C67" s="263"/>
      <c r="D67" s="30"/>
      <c r="E67" s="31"/>
      <c r="F67" s="30"/>
      <c r="G67" s="30"/>
      <c r="H67" s="34"/>
      <c r="I67" s="34"/>
      <c r="J67" s="34"/>
    </row>
    <row r="68" spans="1:11" ht="76.5" customHeight="1">
      <c r="A68" s="248" t="s">
        <v>107</v>
      </c>
      <c r="B68" s="250"/>
      <c r="C68" s="251"/>
      <c r="D68" s="30"/>
      <c r="E68" s="31"/>
      <c r="F68" s="30"/>
      <c r="G68" s="30"/>
      <c r="H68" s="67">
        <f>H69</f>
        <v>0</v>
      </c>
      <c r="I68" s="67">
        <f>I69</f>
        <v>0</v>
      </c>
      <c r="J68" s="67">
        <f>J69</f>
        <v>0</v>
      </c>
    </row>
    <row r="69" spans="1:11" ht="39" customHeight="1">
      <c r="A69" s="249"/>
      <c r="B69" s="246"/>
      <c r="C69" s="247"/>
      <c r="D69" s="30"/>
      <c r="E69" s="31"/>
      <c r="F69" s="30"/>
      <c r="G69" s="30"/>
      <c r="H69" s="34"/>
      <c r="I69" s="34"/>
      <c r="J69" s="34"/>
    </row>
    <row r="70" spans="1:11" ht="243" customHeight="1">
      <c r="A70" s="248" t="s">
        <v>246</v>
      </c>
      <c r="B70" s="250"/>
      <c r="C70" s="251"/>
      <c r="D70" s="30"/>
      <c r="E70" s="31"/>
      <c r="F70" s="30"/>
      <c r="G70" s="30"/>
      <c r="H70" s="67">
        <f>H71</f>
        <v>0</v>
      </c>
      <c r="I70" s="67">
        <f>I71</f>
        <v>0</v>
      </c>
      <c r="J70" s="67">
        <f>J71</f>
        <v>0</v>
      </c>
      <c r="K70" s="45" t="s">
        <v>275</v>
      </c>
    </row>
    <row r="71" spans="1:11" ht="33.75" customHeight="1">
      <c r="A71" s="249"/>
      <c r="B71" s="246"/>
      <c r="C71" s="247"/>
      <c r="D71" s="30"/>
      <c r="E71" s="31"/>
      <c r="F71" s="30"/>
      <c r="G71" s="30"/>
      <c r="H71" s="34"/>
      <c r="I71" s="34"/>
      <c r="J71" s="34"/>
    </row>
    <row r="72" spans="1:11" ht="30" customHeight="1">
      <c r="A72" s="254" t="s">
        <v>247</v>
      </c>
      <c r="B72" s="252"/>
      <c r="C72" s="252"/>
      <c r="D72" s="30"/>
      <c r="E72" s="31"/>
      <c r="F72" s="30"/>
      <c r="G72" s="30"/>
      <c r="H72" s="67">
        <f>SUM(H73)</f>
        <v>0</v>
      </c>
      <c r="I72" s="67">
        <f>SUM(I73)</f>
        <v>0</v>
      </c>
      <c r="J72" s="67">
        <f>SUM(J73)</f>
        <v>0</v>
      </c>
    </row>
    <row r="73" spans="1:11" ht="34.5" customHeight="1">
      <c r="A73" s="254"/>
      <c r="B73" s="253"/>
      <c r="C73" s="253"/>
      <c r="D73" s="30"/>
      <c r="E73" s="31"/>
      <c r="F73" s="30"/>
      <c r="G73" s="30"/>
      <c r="H73" s="34"/>
      <c r="I73" s="34"/>
      <c r="J73" s="34"/>
    </row>
    <row r="74" spans="1:11" ht="41.25" hidden="1" customHeight="1">
      <c r="A74" s="254" t="s">
        <v>99</v>
      </c>
      <c r="B74" s="261" t="s">
        <v>102</v>
      </c>
      <c r="C74" s="261"/>
      <c r="D74" s="32"/>
      <c r="E74" s="33"/>
      <c r="F74" s="32"/>
      <c r="G74" s="32"/>
      <c r="H74" s="39">
        <f>SUM(H75:H76)</f>
        <v>0</v>
      </c>
      <c r="I74" s="39">
        <f>SUM(I75:I76)</f>
        <v>0</v>
      </c>
      <c r="J74" s="39">
        <f>SUM(J75:J76)</f>
        <v>0</v>
      </c>
    </row>
    <row r="75" spans="1:11" ht="30" hidden="1" customHeight="1">
      <c r="A75" s="254"/>
      <c r="B75" s="264" t="s">
        <v>42</v>
      </c>
      <c r="C75" s="264"/>
      <c r="D75" s="32" t="s">
        <v>37</v>
      </c>
      <c r="E75" s="33">
        <v>4329932</v>
      </c>
      <c r="F75" s="32"/>
      <c r="G75" s="32" t="s">
        <v>73</v>
      </c>
      <c r="H75" s="40"/>
      <c r="I75" s="40"/>
      <c r="J75" s="40"/>
    </row>
    <row r="76" spans="1:11" ht="36" hidden="1" customHeight="1">
      <c r="A76" s="254"/>
      <c r="B76" s="253" t="s">
        <v>109</v>
      </c>
      <c r="C76" s="253"/>
      <c r="D76" s="30" t="s">
        <v>37</v>
      </c>
      <c r="E76" s="31">
        <v>4329932</v>
      </c>
      <c r="F76" s="30"/>
      <c r="G76" s="30" t="s">
        <v>74</v>
      </c>
      <c r="H76" s="34">
        <v>0</v>
      </c>
      <c r="I76" s="34">
        <v>0</v>
      </c>
      <c r="J76" s="34">
        <v>0</v>
      </c>
    </row>
    <row r="77" spans="1:11" ht="55.5" customHeight="1">
      <c r="A77" s="254" t="s">
        <v>248</v>
      </c>
      <c r="B77" s="252"/>
      <c r="C77" s="252"/>
      <c r="D77" s="30"/>
      <c r="E77" s="31"/>
      <c r="F77" s="30"/>
      <c r="G77" s="30"/>
      <c r="H77" s="38">
        <f>SUM(H78)</f>
        <v>0</v>
      </c>
      <c r="I77" s="38">
        <f>SUM(I78)</f>
        <v>0</v>
      </c>
      <c r="J77" s="38">
        <f>SUM(J78)</f>
        <v>0</v>
      </c>
    </row>
    <row r="78" spans="1:11" ht="47.25" customHeight="1">
      <c r="A78" s="254"/>
      <c r="B78" s="253"/>
      <c r="C78" s="253"/>
      <c r="D78" s="30"/>
      <c r="E78" s="31"/>
      <c r="F78" s="30"/>
      <c r="G78" s="30"/>
      <c r="H78" s="34"/>
      <c r="I78" s="34"/>
      <c r="J78" s="34"/>
    </row>
    <row r="79" spans="1:11" ht="78" customHeight="1">
      <c r="A79" s="254" t="s">
        <v>249</v>
      </c>
      <c r="B79" s="252"/>
      <c r="C79" s="252"/>
      <c r="D79" s="30"/>
      <c r="E79" s="31"/>
      <c r="F79" s="30"/>
      <c r="G79" s="30"/>
      <c r="H79" s="38">
        <f>SUM(H80)</f>
        <v>0</v>
      </c>
      <c r="I79" s="38">
        <f>SUM(I80)</f>
        <v>0</v>
      </c>
      <c r="J79" s="38">
        <f>SUM(J80)</f>
        <v>0</v>
      </c>
    </row>
    <row r="80" spans="1:11" ht="53.25" customHeight="1">
      <c r="A80" s="254"/>
      <c r="B80" s="253"/>
      <c r="C80" s="253"/>
      <c r="D80" s="30"/>
      <c r="E80" s="31"/>
      <c r="F80" s="30"/>
      <c r="G80" s="30"/>
      <c r="H80" s="34"/>
      <c r="I80" s="34"/>
      <c r="J80" s="34"/>
    </row>
    <row r="81" spans="1:11" ht="53.25" customHeight="1">
      <c r="A81" s="254" t="s">
        <v>250</v>
      </c>
      <c r="B81" s="252"/>
      <c r="C81" s="252"/>
      <c r="D81" s="30"/>
      <c r="E81" s="31"/>
      <c r="F81" s="30"/>
      <c r="G81" s="30"/>
      <c r="H81" s="38">
        <f>SUM(H82)</f>
        <v>0</v>
      </c>
      <c r="I81" s="38">
        <f>SUM(I82)</f>
        <v>0</v>
      </c>
      <c r="J81" s="38">
        <f>SUM(J82)</f>
        <v>0</v>
      </c>
    </row>
    <row r="82" spans="1:11" ht="60" customHeight="1">
      <c r="A82" s="254"/>
      <c r="B82" s="253"/>
      <c r="C82" s="253"/>
      <c r="D82" s="30"/>
      <c r="E82" s="31"/>
      <c r="F82" s="30"/>
      <c r="G82" s="30"/>
      <c r="H82" s="34"/>
      <c r="I82" s="34"/>
      <c r="J82" s="34"/>
    </row>
    <row r="83" spans="1:11" ht="64.5" customHeight="1">
      <c r="A83" s="254" t="s">
        <v>251</v>
      </c>
      <c r="B83" s="252"/>
      <c r="C83" s="252"/>
      <c r="D83" s="30"/>
      <c r="E83" s="31"/>
      <c r="F83" s="30"/>
      <c r="G83" s="30"/>
      <c r="H83" s="38">
        <f>SUM(H84)</f>
        <v>0</v>
      </c>
      <c r="I83" s="38">
        <f>SUM(I84)</f>
        <v>0</v>
      </c>
      <c r="J83" s="38">
        <f>SUM(J84)</f>
        <v>0</v>
      </c>
    </row>
    <row r="84" spans="1:11" ht="57" customHeight="1">
      <c r="A84" s="254"/>
      <c r="B84" s="253"/>
      <c r="C84" s="253"/>
      <c r="D84" s="30"/>
      <c r="E84" s="31"/>
      <c r="F84" s="30"/>
      <c r="G84" s="30"/>
      <c r="H84" s="34"/>
      <c r="I84" s="34"/>
      <c r="J84" s="34"/>
    </row>
    <row r="85" spans="1:11" ht="57" customHeight="1">
      <c r="A85" s="254" t="s">
        <v>252</v>
      </c>
      <c r="B85" s="252"/>
      <c r="C85" s="252"/>
      <c r="D85" s="30"/>
      <c r="E85" s="31"/>
      <c r="F85" s="30"/>
      <c r="G85" s="30"/>
      <c r="H85" s="38">
        <f>SUM(H86)</f>
        <v>0</v>
      </c>
      <c r="I85" s="38">
        <f>SUM(I86)</f>
        <v>0</v>
      </c>
      <c r="J85" s="38">
        <f>SUM(J86)</f>
        <v>0</v>
      </c>
    </row>
    <row r="86" spans="1:11" ht="58.5" customHeight="1">
      <c r="A86" s="254"/>
      <c r="B86" s="253"/>
      <c r="C86" s="253"/>
      <c r="D86" s="30"/>
      <c r="E86" s="31"/>
      <c r="F86" s="30"/>
      <c r="G86" s="30"/>
      <c r="H86" s="34"/>
      <c r="I86" s="34"/>
      <c r="J86" s="34"/>
    </row>
    <row r="87" spans="1:11" ht="74.25" customHeight="1">
      <c r="A87" s="254" t="s">
        <v>253</v>
      </c>
      <c r="B87" s="252"/>
      <c r="C87" s="252"/>
      <c r="D87" s="30"/>
      <c r="E87" s="31"/>
      <c r="F87" s="30"/>
      <c r="G87" s="30"/>
      <c r="H87" s="38">
        <f>SUM(H88)</f>
        <v>0</v>
      </c>
      <c r="I87" s="38">
        <f>SUM(I88)</f>
        <v>0</v>
      </c>
      <c r="J87" s="38">
        <f>SUM(J88)</f>
        <v>0</v>
      </c>
      <c r="K87" s="45" t="s">
        <v>245</v>
      </c>
    </row>
    <row r="88" spans="1:11" ht="58.5" customHeight="1">
      <c r="A88" s="254"/>
      <c r="B88" s="253"/>
      <c r="C88" s="253"/>
      <c r="D88" s="30"/>
      <c r="E88" s="30"/>
      <c r="F88" s="30"/>
      <c r="G88" s="30"/>
      <c r="H88" s="34"/>
      <c r="I88" s="34"/>
      <c r="J88" s="34"/>
    </row>
    <row r="89" spans="1:11" ht="67.5" customHeight="1">
      <c r="A89" s="254" t="s">
        <v>254</v>
      </c>
      <c r="B89" s="252"/>
      <c r="C89" s="252"/>
      <c r="D89" s="30"/>
      <c r="E89" s="31"/>
      <c r="F89" s="30"/>
      <c r="G89" s="30"/>
      <c r="H89" s="67">
        <f>SUM(H90:H90)</f>
        <v>0</v>
      </c>
      <c r="I89" s="67">
        <f>SUM(I90:I90)</f>
        <v>0</v>
      </c>
      <c r="J89" s="67">
        <f>SUM(J90:J90)</f>
        <v>0</v>
      </c>
    </row>
    <row r="90" spans="1:11" ht="32.25" customHeight="1">
      <c r="A90" s="254"/>
      <c r="B90" s="253"/>
      <c r="C90" s="253"/>
      <c r="D90" s="30"/>
      <c r="E90" s="31"/>
      <c r="F90" s="30"/>
      <c r="G90" s="30"/>
      <c r="H90" s="34"/>
      <c r="I90" s="34"/>
      <c r="J90" s="34"/>
    </row>
    <row r="91" spans="1:11" ht="78.75" customHeight="1">
      <c r="A91" s="254" t="s">
        <v>255</v>
      </c>
      <c r="B91" s="252"/>
      <c r="C91" s="255"/>
      <c r="D91" s="30"/>
      <c r="E91" s="31"/>
      <c r="F91" s="30"/>
      <c r="G91" s="30"/>
      <c r="H91" s="67">
        <f>SUM(H92)</f>
        <v>0</v>
      </c>
      <c r="I91" s="67">
        <f>SUM(I92)</f>
        <v>0</v>
      </c>
      <c r="J91" s="67">
        <f>SUM(J92)</f>
        <v>0</v>
      </c>
    </row>
    <row r="92" spans="1:11" ht="33.75" customHeight="1">
      <c r="A92" s="254"/>
      <c r="B92" s="253"/>
      <c r="C92" s="253"/>
      <c r="D92" s="30"/>
      <c r="E92" s="31"/>
      <c r="F92" s="30"/>
      <c r="G92" s="30"/>
      <c r="H92" s="34"/>
      <c r="I92" s="34"/>
      <c r="J92" s="34"/>
    </row>
    <row r="93" spans="1:11" ht="63" customHeight="1">
      <c r="A93" s="248" t="s">
        <v>272</v>
      </c>
      <c r="B93" s="252"/>
      <c r="C93" s="252"/>
      <c r="D93" s="30"/>
      <c r="E93" s="31"/>
      <c r="F93" s="30"/>
      <c r="G93" s="30"/>
      <c r="H93" s="38">
        <f>H94</f>
        <v>0</v>
      </c>
      <c r="I93" s="38">
        <f>I94</f>
        <v>0</v>
      </c>
      <c r="J93" s="38">
        <f>J94</f>
        <v>0</v>
      </c>
    </row>
    <row r="94" spans="1:11" ht="39.75" customHeight="1">
      <c r="A94" s="249"/>
      <c r="B94" s="253"/>
      <c r="C94" s="253"/>
      <c r="D94" s="30"/>
      <c r="E94" s="31"/>
      <c r="F94" s="30"/>
      <c r="G94" s="30"/>
      <c r="H94" s="34"/>
      <c r="I94" s="34"/>
      <c r="J94" s="34"/>
    </row>
    <row r="95" spans="1:11" ht="58.5" customHeight="1">
      <c r="A95" s="248" t="s">
        <v>273</v>
      </c>
      <c r="B95" s="250"/>
      <c r="C95" s="251"/>
      <c r="D95" s="30"/>
      <c r="E95" s="31"/>
      <c r="F95" s="30"/>
      <c r="G95" s="30"/>
      <c r="H95" s="38">
        <f>H96</f>
        <v>0</v>
      </c>
      <c r="I95" s="38">
        <f>I96</f>
        <v>0</v>
      </c>
      <c r="J95" s="38">
        <f>J96</f>
        <v>0</v>
      </c>
    </row>
    <row r="96" spans="1:11" ht="42" customHeight="1">
      <c r="A96" s="249"/>
      <c r="B96" s="246"/>
      <c r="C96" s="247"/>
      <c r="D96" s="30"/>
      <c r="E96" s="31"/>
      <c r="F96" s="30"/>
      <c r="G96" s="30"/>
      <c r="H96" s="34"/>
      <c r="I96" s="34"/>
      <c r="J96" s="34"/>
    </row>
    <row r="97" spans="1:10" ht="52.5" customHeight="1">
      <c r="A97" s="248" t="s">
        <v>274</v>
      </c>
      <c r="B97" s="250"/>
      <c r="C97" s="251"/>
      <c r="D97" s="30"/>
      <c r="E97" s="31"/>
      <c r="F97" s="30"/>
      <c r="G97" s="30"/>
      <c r="H97" s="38">
        <f>H98</f>
        <v>0</v>
      </c>
      <c r="I97" s="38">
        <f>I98</f>
        <v>0</v>
      </c>
      <c r="J97" s="38">
        <f>J98</f>
        <v>0</v>
      </c>
    </row>
    <row r="98" spans="1:10" ht="39" customHeight="1">
      <c r="A98" s="249"/>
      <c r="B98" s="246"/>
      <c r="C98" s="247"/>
      <c r="D98" s="30"/>
      <c r="E98" s="30"/>
      <c r="F98" s="30"/>
      <c r="G98" s="30"/>
      <c r="H98" s="34"/>
      <c r="I98" s="34"/>
      <c r="J98" s="34"/>
    </row>
    <row r="99" spans="1:10" ht="21.75" customHeight="1">
      <c r="A99" s="41"/>
      <c r="B99" s="260" t="s">
        <v>40</v>
      </c>
      <c r="C99" s="260"/>
      <c r="D99" s="42"/>
      <c r="E99" s="42"/>
      <c r="F99" s="42"/>
      <c r="G99" s="42"/>
      <c r="H99" s="39">
        <f>SUM(H8+H11+H17+H23+H25+H27+H29+H31+H35+H37+H41+H44+H46+H48+H50+H52+H55+H57+H59+H61+H63+H65+H68+H70+H72+H77+H79+H81+H83+H85+H87+H89+H91+H93+H95+H97)</f>
        <v>0</v>
      </c>
      <c r="I99" s="39">
        <f>SUM(I8+I11+I17+I23+I25+I27+I29+I31+I35+I37+I41+I44+I46+I48+I50+I52+I55+I57+I59+I61+I63+I65+I68+I70+I72+I77+I79+I81+I83+I85+I87+I89+I91+I93+I95+I97)</f>
        <v>0</v>
      </c>
      <c r="J99" s="39">
        <f>SUM(J8+J11+J17+J23+J25+J27+J29+J31+J35+J37+J41+J44+J46+J48+J50+J52+J55+J57+J59+J61+J63+J65+J68+J70+J72+J77+J79+J81+J83+J85+J87+J89+J91+J93+J95+J97)</f>
        <v>0</v>
      </c>
    </row>
    <row r="100" spans="1:10">
      <c r="I100" s="48"/>
      <c r="J100" s="48"/>
    </row>
  </sheetData>
  <mergeCells count="131"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</mergeCells>
  <phoneticPr fontId="8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R103"/>
  <sheetViews>
    <sheetView view="pageBreakPreview" topLeftCell="A21" zoomScale="130" zoomScaleNormal="100" zoomScaleSheetLayoutView="130" workbookViewId="0">
      <selection activeCell="H15" sqref="H15:H27"/>
    </sheetView>
  </sheetViews>
  <sheetFormatPr defaultRowHeight="12"/>
  <cols>
    <col min="1" max="1" width="9.77734375" style="6" customWidth="1"/>
    <col min="2" max="2" width="20.33203125" style="6" customWidth="1"/>
    <col min="3" max="3" width="9.5546875" style="6" customWidth="1"/>
    <col min="4" max="4" width="9.88671875" style="6" customWidth="1"/>
    <col min="5" max="5" width="29.109375" style="6" customWidth="1"/>
    <col min="6" max="6" width="3.5546875" style="6" hidden="1" customWidth="1"/>
    <col min="7" max="7" width="3.109375" style="6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2" ht="114" customHeight="1">
      <c r="A1" s="230" t="s">
        <v>1031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2" ht="128.25" customHeight="1">
      <c r="A2" s="230" t="s">
        <v>1395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2" ht="2.25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</row>
    <row r="4" spans="1:12" s="28" customFormat="1" ht="32.25" customHeight="1">
      <c r="A4" s="301" t="s">
        <v>1032</v>
      </c>
      <c r="B4" s="301"/>
      <c r="C4" s="301"/>
      <c r="D4" s="301"/>
      <c r="E4" s="301"/>
      <c r="F4" s="301"/>
      <c r="G4" s="301"/>
      <c r="H4" s="301"/>
      <c r="I4" s="301"/>
      <c r="J4" s="301"/>
    </row>
    <row r="5" spans="1:12" ht="18" customHeight="1">
      <c r="A5" s="301"/>
      <c r="B5" s="301"/>
      <c r="C5" s="301"/>
      <c r="D5" s="301"/>
      <c r="E5" s="301"/>
      <c r="F5" s="301"/>
      <c r="G5" s="301"/>
      <c r="H5" s="301"/>
      <c r="I5" s="301"/>
      <c r="J5" s="301"/>
    </row>
    <row r="6" spans="1:12" ht="45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2" ht="17.25" customHeight="1">
      <c r="B7" s="302" t="s">
        <v>1</v>
      </c>
      <c r="C7" s="302"/>
      <c r="D7" s="302"/>
      <c r="E7" s="302"/>
      <c r="F7" s="302"/>
      <c r="G7" s="302"/>
      <c r="H7" s="302"/>
      <c r="I7" s="302"/>
      <c r="J7" s="302"/>
      <c r="K7" s="43"/>
      <c r="L7" s="43"/>
    </row>
    <row r="8" spans="1:12" ht="39" customHeight="1">
      <c r="A8" s="303" t="s">
        <v>63</v>
      </c>
      <c r="B8" s="304"/>
      <c r="C8" s="305" t="s">
        <v>85</v>
      </c>
      <c r="D8" s="306"/>
      <c r="E8" s="306"/>
      <c r="F8" s="306"/>
      <c r="G8" s="307"/>
      <c r="H8" s="240" t="s">
        <v>523</v>
      </c>
      <c r="I8" s="240"/>
      <c r="J8" s="240"/>
    </row>
    <row r="9" spans="1:12" ht="31.5" customHeight="1">
      <c r="A9" s="314" t="s">
        <v>517</v>
      </c>
      <c r="B9" s="316" t="s">
        <v>518</v>
      </c>
      <c r="C9" s="308"/>
      <c r="D9" s="309"/>
      <c r="E9" s="309"/>
      <c r="F9" s="309"/>
      <c r="G9" s="310"/>
      <c r="H9" s="240"/>
      <c r="I9" s="240"/>
      <c r="J9" s="240"/>
    </row>
    <row r="10" spans="1:12" ht="52.5" customHeight="1">
      <c r="A10" s="315"/>
      <c r="B10" s="316"/>
      <c r="C10" s="311"/>
      <c r="D10" s="312"/>
      <c r="E10" s="312"/>
      <c r="F10" s="312"/>
      <c r="G10" s="313"/>
      <c r="H10" s="96" t="s">
        <v>524</v>
      </c>
      <c r="I10" s="182" t="s">
        <v>937</v>
      </c>
      <c r="J10" s="182" t="s">
        <v>1030</v>
      </c>
    </row>
    <row r="11" spans="1:12" ht="36" customHeight="1">
      <c r="A11" s="288" t="s">
        <v>30</v>
      </c>
      <c r="B11" s="29"/>
      <c r="C11" s="291" t="s">
        <v>156</v>
      </c>
      <c r="D11" s="292"/>
      <c r="E11" s="292"/>
      <c r="F11" s="292"/>
      <c r="G11" s="293"/>
      <c r="H11" s="156">
        <f>SUM(H12+H13+H14)</f>
        <v>4010.8999999999069</v>
      </c>
      <c r="I11" s="156">
        <f>SUM(I12+I13+I14)</f>
        <v>0</v>
      </c>
      <c r="J11" s="156">
        <f>SUM(J12+J13+J14)</f>
        <v>0</v>
      </c>
    </row>
    <row r="12" spans="1:12" s="23" customFormat="1" ht="40.5" hidden="1" customHeight="1">
      <c r="A12" s="289"/>
      <c r="B12" s="136" t="s">
        <v>134</v>
      </c>
      <c r="C12" s="281" t="s">
        <v>110</v>
      </c>
      <c r="D12" s="282"/>
      <c r="E12" s="282"/>
      <c r="F12" s="282"/>
      <c r="G12" s="283"/>
      <c r="H12" s="87">
        <f>150000+16000+12600-178600</f>
        <v>0</v>
      </c>
      <c r="I12" s="87">
        <f>162000+16000+12600-479.5-190120.5</f>
        <v>0</v>
      </c>
      <c r="J12" s="87">
        <f>168000+16000+12600-503.5-196096.5</f>
        <v>0</v>
      </c>
    </row>
    <row r="13" spans="1:12" ht="34.5" hidden="1" customHeight="1">
      <c r="A13" s="289"/>
      <c r="B13" s="136" t="s">
        <v>111</v>
      </c>
      <c r="C13" s="281" t="s">
        <v>43</v>
      </c>
      <c r="D13" s="282"/>
      <c r="E13" s="282"/>
      <c r="F13" s="282"/>
      <c r="G13" s="283"/>
      <c r="H13" s="87">
        <f>-134000-16000+150000</f>
        <v>0</v>
      </c>
      <c r="I13" s="87">
        <f>-150000-16000-12600+178600</f>
        <v>0</v>
      </c>
      <c r="J13" s="87">
        <f>-162000-16000-12600+190600</f>
        <v>0</v>
      </c>
    </row>
    <row r="14" spans="1:12" ht="27.75" customHeight="1">
      <c r="A14" s="289"/>
      <c r="B14" s="138" t="s">
        <v>126</v>
      </c>
      <c r="C14" s="294" t="s">
        <v>127</v>
      </c>
      <c r="D14" s="295"/>
      <c r="E14" s="295"/>
      <c r="F14" s="295"/>
      <c r="G14" s="296"/>
      <c r="H14" s="157">
        <f>SUM(H15+H16)</f>
        <v>4010.8999999999069</v>
      </c>
      <c r="I14" s="157">
        <f>SUM(I15+I16)</f>
        <v>0</v>
      </c>
      <c r="J14" s="157">
        <f>SUM(J15+J16)</f>
        <v>0</v>
      </c>
    </row>
    <row r="15" spans="1:12" ht="42" customHeight="1">
      <c r="A15" s="289"/>
      <c r="B15" s="138" t="s">
        <v>135</v>
      </c>
      <c r="C15" s="297" t="s">
        <v>87</v>
      </c>
      <c r="D15" s="298"/>
      <c r="E15" s="298"/>
      <c r="F15" s="298"/>
      <c r="G15" s="299"/>
      <c r="H15" s="158">
        <f>-1165700.5-(+H18)-(+H20)-(2505.3)</f>
        <v>-1379506.8</v>
      </c>
      <c r="I15" s="103">
        <f>-1100993.1-(+I18)</f>
        <v>-1346993.1</v>
      </c>
      <c r="J15" s="103">
        <f>-1104024.5-(+J18)</f>
        <v>-1340024.5</v>
      </c>
    </row>
    <row r="16" spans="1:12" ht="36.75" customHeight="1">
      <c r="A16" s="290"/>
      <c r="B16" s="138" t="s">
        <v>136</v>
      </c>
      <c r="C16" s="297" t="s">
        <v>108</v>
      </c>
      <c r="D16" s="298"/>
      <c r="E16" s="298"/>
      <c r="F16" s="298"/>
      <c r="G16" s="299"/>
      <c r="H16" s="158">
        <f>1200700.5-H19-H23-(-1516.2)</f>
        <v>1383517.7</v>
      </c>
      <c r="I16" s="103">
        <f>1100993.1-I19</f>
        <v>1346993.1</v>
      </c>
      <c r="J16" s="103">
        <f>1094024.5-J19</f>
        <v>1340024.5</v>
      </c>
    </row>
    <row r="17" spans="1:18" s="4" customFormat="1" ht="21.75" customHeight="1">
      <c r="A17" s="277" t="s">
        <v>76</v>
      </c>
      <c r="B17" s="88"/>
      <c r="C17" s="280" t="s">
        <v>29</v>
      </c>
      <c r="D17" s="280"/>
      <c r="E17" s="280"/>
      <c r="F17" s="280"/>
      <c r="G17" s="280"/>
      <c r="H17" s="116">
        <f>SUM(H18+H19+H20+H23)</f>
        <v>30000</v>
      </c>
      <c r="I17" s="116">
        <f>SUM(I18+I19+I20+I23)</f>
        <v>0</v>
      </c>
      <c r="J17" s="116">
        <f>SUM(J18:J23)</f>
        <v>-10000</v>
      </c>
    </row>
    <row r="18" spans="1:18" s="4" customFormat="1" ht="43.5" customHeight="1">
      <c r="A18" s="278"/>
      <c r="B18" s="136" t="s">
        <v>134</v>
      </c>
      <c r="C18" s="281" t="s">
        <v>110</v>
      </c>
      <c r="D18" s="282"/>
      <c r="E18" s="282"/>
      <c r="F18" s="282"/>
      <c r="G18" s="283"/>
      <c r="H18" s="107">
        <f>92000+28000+30000+4000</f>
        <v>154000</v>
      </c>
      <c r="I18" s="87">
        <f>92000+28000+4000+30000+92000</f>
        <v>246000</v>
      </c>
      <c r="J18" s="87">
        <v>236000</v>
      </c>
    </row>
    <row r="19" spans="1:18" s="4" customFormat="1" ht="44.25" customHeight="1">
      <c r="A19" s="278"/>
      <c r="B19" s="136" t="s">
        <v>111</v>
      </c>
      <c r="C19" s="281" t="s">
        <v>43</v>
      </c>
      <c r="D19" s="282"/>
      <c r="E19" s="282"/>
      <c r="F19" s="282"/>
      <c r="G19" s="283"/>
      <c r="H19" s="107">
        <f>-92000-28000-4000</f>
        <v>-124000</v>
      </c>
      <c r="I19" s="134">
        <v>-246000</v>
      </c>
      <c r="J19" s="134">
        <v>-246000</v>
      </c>
    </row>
    <row r="20" spans="1:18" s="4" customFormat="1" ht="62.25" customHeight="1">
      <c r="A20" s="278"/>
      <c r="B20" s="137" t="s">
        <v>476</v>
      </c>
      <c r="C20" s="284" t="s">
        <v>1006</v>
      </c>
      <c r="D20" s="285"/>
      <c r="E20" s="285"/>
      <c r="F20" s="89"/>
      <c r="G20" s="89"/>
      <c r="H20" s="90">
        <f>SUM(H21:H22)</f>
        <v>57301</v>
      </c>
      <c r="I20" s="142">
        <f t="shared" ref="I20:J20" si="0">SUM(I21:I22)</f>
        <v>0</v>
      </c>
      <c r="J20" s="142">
        <f t="shared" si="0"/>
        <v>0</v>
      </c>
      <c r="K20" s="171"/>
    </row>
    <row r="21" spans="1:18" s="4" customFormat="1" ht="33.75" customHeight="1">
      <c r="A21" s="278"/>
      <c r="B21" s="137"/>
      <c r="C21" s="317" t="s">
        <v>1003</v>
      </c>
      <c r="D21" s="318"/>
      <c r="E21" s="318"/>
      <c r="F21" s="172"/>
      <c r="G21" s="172"/>
      <c r="H21" s="173">
        <v>0</v>
      </c>
      <c r="I21" s="173">
        <v>0</v>
      </c>
      <c r="J21" s="173">
        <v>0</v>
      </c>
      <c r="K21" s="171"/>
    </row>
    <row r="22" spans="1:18" s="4" customFormat="1" ht="48" customHeight="1">
      <c r="A22" s="278"/>
      <c r="B22" s="137"/>
      <c r="C22" s="317" t="s">
        <v>1008</v>
      </c>
      <c r="D22" s="318"/>
      <c r="E22" s="318"/>
      <c r="F22" s="172"/>
      <c r="G22" s="172"/>
      <c r="H22" s="173">
        <f>57691-390</f>
        <v>57301</v>
      </c>
      <c r="I22" s="173">
        <v>0</v>
      </c>
      <c r="J22" s="173">
        <v>0</v>
      </c>
      <c r="K22" s="171"/>
      <c r="R22" s="4" t="s">
        <v>1005</v>
      </c>
    </row>
    <row r="23" spans="1:18" s="4" customFormat="1" ht="63.75" customHeight="1">
      <c r="A23" s="278"/>
      <c r="B23" s="137" t="s">
        <v>478</v>
      </c>
      <c r="C23" s="284" t="s">
        <v>1007</v>
      </c>
      <c r="D23" s="285"/>
      <c r="E23" s="285"/>
      <c r="F23" s="89"/>
      <c r="G23" s="89"/>
      <c r="H23" s="90">
        <f>SUM(H26:H27)</f>
        <v>-57301</v>
      </c>
      <c r="I23" s="142">
        <f t="shared" ref="I23:J23" si="1">SUM(I26:I27)</f>
        <v>0</v>
      </c>
      <c r="J23" s="142">
        <f t="shared" si="1"/>
        <v>0</v>
      </c>
    </row>
    <row r="24" spans="1:18" s="4" customFormat="1" ht="84.75" hidden="1" customHeight="1">
      <c r="A24" s="278"/>
      <c r="B24" s="137" t="s">
        <v>476</v>
      </c>
      <c r="C24" s="286" t="s">
        <v>923</v>
      </c>
      <c r="D24" s="287"/>
      <c r="E24" s="287"/>
      <c r="F24" s="89"/>
      <c r="G24" s="89"/>
      <c r="H24" s="90">
        <v>0</v>
      </c>
      <c r="I24" s="90">
        <v>0</v>
      </c>
      <c r="J24" s="90">
        <v>0</v>
      </c>
    </row>
    <row r="25" spans="1:18" s="4" customFormat="1" ht="69.75" hidden="1" customHeight="1">
      <c r="A25" s="279"/>
      <c r="B25" s="137" t="s">
        <v>478</v>
      </c>
      <c r="C25" s="286" t="s">
        <v>924</v>
      </c>
      <c r="D25" s="287"/>
      <c r="E25" s="287"/>
      <c r="F25" s="89"/>
      <c r="G25" s="89"/>
      <c r="H25" s="90">
        <v>0</v>
      </c>
      <c r="I25" s="90">
        <v>0</v>
      </c>
      <c r="J25" s="90">
        <v>0</v>
      </c>
    </row>
    <row r="26" spans="1:18" s="4" customFormat="1" ht="34.5" customHeight="1">
      <c r="A26" s="169"/>
      <c r="B26" s="137"/>
      <c r="C26" s="317" t="s">
        <v>1003</v>
      </c>
      <c r="D26" s="318"/>
      <c r="E26" s="318"/>
      <c r="F26" s="172"/>
      <c r="G26" s="172"/>
      <c r="H26" s="173">
        <v>0</v>
      </c>
      <c r="I26" s="173">
        <v>0</v>
      </c>
      <c r="J26" s="173">
        <v>0</v>
      </c>
    </row>
    <row r="27" spans="1:18" s="4" customFormat="1" ht="50.25" customHeight="1">
      <c r="A27" s="169"/>
      <c r="B27" s="137"/>
      <c r="C27" s="317" t="s">
        <v>1008</v>
      </c>
      <c r="D27" s="318"/>
      <c r="E27" s="318"/>
      <c r="F27" s="172"/>
      <c r="G27" s="172"/>
      <c r="H27" s="173">
        <f>-57691+390</f>
        <v>-57301</v>
      </c>
      <c r="I27" s="173">
        <v>0</v>
      </c>
      <c r="J27" s="173">
        <v>0</v>
      </c>
    </row>
    <row r="28" spans="1:18" s="4" customFormat="1" ht="54" customHeight="1">
      <c r="A28" s="117"/>
      <c r="B28" s="93" t="s">
        <v>133</v>
      </c>
      <c r="C28" s="276" t="s">
        <v>1056</v>
      </c>
      <c r="D28" s="276"/>
      <c r="E28" s="276"/>
      <c r="F28" s="118"/>
      <c r="G28" s="118"/>
      <c r="H28" s="119">
        <f>-H11-H17</f>
        <v>-34010.899999999907</v>
      </c>
      <c r="I28" s="119">
        <f t="shared" ref="I28:J28" si="2">-I11-I17</f>
        <v>0</v>
      </c>
      <c r="J28" s="119">
        <f t="shared" si="2"/>
        <v>10000</v>
      </c>
    </row>
    <row r="29" spans="1:18" s="4" customFormat="1">
      <c r="A29" s="6"/>
      <c r="B29" s="6"/>
      <c r="C29" s="6"/>
      <c r="D29" s="6"/>
      <c r="E29" s="6"/>
      <c r="F29" s="6"/>
      <c r="G29" s="6"/>
      <c r="H29" s="1"/>
    </row>
    <row r="30" spans="1:18" ht="18.75">
      <c r="B30" s="64"/>
      <c r="E30" s="210"/>
    </row>
    <row r="31" spans="1:18" ht="15.75">
      <c r="B31" s="209"/>
    </row>
    <row r="103" spans="1:7" s="85" customFormat="1">
      <c r="A103" s="84"/>
      <c r="C103" s="84"/>
      <c r="D103" s="84"/>
      <c r="E103" s="84"/>
      <c r="F103" s="84"/>
      <c r="G103" s="84"/>
    </row>
  </sheetData>
  <mergeCells count="30">
    <mergeCell ref="C21:E21"/>
    <mergeCell ref="C22:E22"/>
    <mergeCell ref="C26:E26"/>
    <mergeCell ref="C27:E27"/>
    <mergeCell ref="C16:G16"/>
    <mergeCell ref="C15:G15"/>
    <mergeCell ref="A3:J3"/>
    <mergeCell ref="A4:J6"/>
    <mergeCell ref="B7:J7"/>
    <mergeCell ref="A8:B8"/>
    <mergeCell ref="C8:G10"/>
    <mergeCell ref="H8:J9"/>
    <mergeCell ref="A9:A10"/>
    <mergeCell ref="B9:B10"/>
    <mergeCell ref="A1:J1"/>
    <mergeCell ref="A2:J2"/>
    <mergeCell ref="C28:E28"/>
    <mergeCell ref="A17:A25"/>
    <mergeCell ref="C17:G17"/>
    <mergeCell ref="C18:G18"/>
    <mergeCell ref="C19:G19"/>
    <mergeCell ref="C20:E20"/>
    <mergeCell ref="C23:E23"/>
    <mergeCell ref="C24:E24"/>
    <mergeCell ref="C25:E25"/>
    <mergeCell ref="A11:A16"/>
    <mergeCell ref="C11:G11"/>
    <mergeCell ref="C12:G12"/>
    <mergeCell ref="C13:G13"/>
    <mergeCell ref="C14:G14"/>
  </mergeCells>
  <pageMargins left="0.98425196850393704" right="0.39370078740157483" top="0.39370078740157483" bottom="0.39370078740157483" header="0.31496062992125984" footer="0.19685039370078741"/>
  <pageSetup paperSize="9" scale="70" firstPageNumber="19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5" customWidth="1"/>
    <col min="2" max="2" width="8.88671875" style="5"/>
    <col min="3" max="3" width="6.44140625" style="5" customWidth="1"/>
    <col min="4" max="4" width="10.77734375" style="5" customWidth="1"/>
    <col min="5" max="5" width="8.77734375" style="5" customWidth="1"/>
    <col min="6" max="6" width="8.5546875" style="5" customWidth="1"/>
    <col min="7" max="7" width="8.88671875" style="5"/>
    <col min="8" max="8" width="12" style="5" customWidth="1"/>
    <col min="9" max="9" width="11.21875" style="5" customWidth="1"/>
    <col min="10" max="10" width="12.109375" style="5" customWidth="1"/>
  </cols>
  <sheetData>
    <row r="1" spans="1:10" ht="19.5" customHeight="1">
      <c r="A1" s="8"/>
      <c r="B1" s="8"/>
      <c r="C1" s="8"/>
      <c r="D1" s="8"/>
      <c r="E1" s="8"/>
      <c r="F1" s="8"/>
      <c r="G1" s="8"/>
      <c r="H1" s="342" t="s">
        <v>49</v>
      </c>
      <c r="I1" s="342"/>
      <c r="J1" s="342"/>
    </row>
    <row r="2" spans="1:10" ht="34.5" customHeight="1">
      <c r="A2" s="8"/>
      <c r="B2" s="8"/>
      <c r="C2" s="8"/>
      <c r="D2" s="8"/>
      <c r="E2" s="8"/>
      <c r="F2" s="8"/>
      <c r="G2" s="349" t="s">
        <v>141</v>
      </c>
      <c r="H2" s="350"/>
      <c r="I2" s="350"/>
      <c r="J2" s="350"/>
    </row>
    <row r="3" spans="1:10" ht="19.5" customHeight="1">
      <c r="A3" s="8"/>
      <c r="B3" s="8"/>
      <c r="C3" s="8"/>
      <c r="D3" s="8"/>
      <c r="E3" s="8"/>
      <c r="F3" s="8"/>
      <c r="G3" s="342" t="s">
        <v>88</v>
      </c>
      <c r="H3" s="342"/>
      <c r="I3" s="342"/>
      <c r="J3" s="342"/>
    </row>
    <row r="4" spans="1:10" ht="19.5" customHeight="1">
      <c r="A4" s="8"/>
      <c r="B4" s="8"/>
      <c r="C4" s="8"/>
      <c r="D4" s="8"/>
      <c r="E4" s="8"/>
      <c r="F4" s="8"/>
      <c r="G4" s="342" t="s">
        <v>143</v>
      </c>
      <c r="H4" s="342"/>
      <c r="I4" s="342"/>
      <c r="J4" s="342"/>
    </row>
    <row r="5" spans="1:10">
      <c r="A5" s="8"/>
      <c r="B5" s="8"/>
      <c r="C5" s="8"/>
      <c r="D5" s="8"/>
      <c r="E5" s="8"/>
      <c r="F5" s="8"/>
      <c r="G5" s="342" t="s">
        <v>80</v>
      </c>
      <c r="H5" s="342"/>
      <c r="I5" s="342" t="s">
        <v>129</v>
      </c>
      <c r="J5" s="342"/>
    </row>
    <row r="6" spans="1:10" hidden="1">
      <c r="A6" s="8"/>
      <c r="B6" s="8"/>
      <c r="C6" s="8"/>
      <c r="D6" s="8"/>
      <c r="E6" s="8"/>
      <c r="F6" s="8"/>
      <c r="G6" s="8"/>
      <c r="H6" s="8"/>
      <c r="I6" s="9"/>
      <c r="J6" s="10"/>
    </row>
    <row r="7" spans="1:10" ht="59.25" customHeight="1">
      <c r="A7" s="351" t="s">
        <v>142</v>
      </c>
      <c r="B7" s="352"/>
      <c r="C7" s="352"/>
      <c r="D7" s="352"/>
      <c r="E7" s="352"/>
      <c r="F7" s="352"/>
      <c r="G7" s="352"/>
      <c r="H7" s="352"/>
      <c r="I7" s="352"/>
      <c r="J7" s="352"/>
    </row>
    <row r="8" spans="1:10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 ht="30.75" customHeight="1">
      <c r="A9" s="11" t="s">
        <v>58</v>
      </c>
      <c r="B9" s="345" t="s">
        <v>145</v>
      </c>
      <c r="C9" s="346"/>
      <c r="D9" s="346"/>
      <c r="E9" s="346"/>
      <c r="F9" s="346"/>
      <c r="G9" s="346"/>
      <c r="H9" s="346"/>
      <c r="I9" s="346"/>
      <c r="J9" s="346"/>
    </row>
    <row r="10" spans="1:10" ht="30.75" customHeight="1">
      <c r="A10" s="330" t="s">
        <v>79</v>
      </c>
      <c r="B10" s="332" t="s">
        <v>51</v>
      </c>
      <c r="C10" s="332"/>
      <c r="D10" s="332" t="s">
        <v>52</v>
      </c>
      <c r="E10" s="329" t="s">
        <v>123</v>
      </c>
      <c r="F10" s="329"/>
      <c r="G10" s="329"/>
      <c r="H10" s="329"/>
      <c r="I10" s="347" t="s">
        <v>53</v>
      </c>
      <c r="J10" s="347" t="s">
        <v>54</v>
      </c>
    </row>
    <row r="11" spans="1:10" ht="69" customHeight="1" thickBot="1">
      <c r="A11" s="331"/>
      <c r="B11" s="332"/>
      <c r="C11" s="332"/>
      <c r="D11" s="332"/>
      <c r="E11" s="12" t="s">
        <v>120</v>
      </c>
      <c r="F11" s="12" t="s">
        <v>121</v>
      </c>
      <c r="G11" s="12" t="s">
        <v>122</v>
      </c>
      <c r="H11" s="12" t="s">
        <v>146</v>
      </c>
      <c r="I11" s="348"/>
      <c r="J11" s="348"/>
    </row>
    <row r="12" spans="1:10" ht="167.25" customHeight="1">
      <c r="A12" s="13" t="s">
        <v>55</v>
      </c>
      <c r="B12" s="319" t="s">
        <v>65</v>
      </c>
      <c r="C12" s="320"/>
      <c r="D12" s="14" t="s">
        <v>112</v>
      </c>
      <c r="E12" s="14"/>
      <c r="F12" s="15"/>
      <c r="G12" s="15"/>
      <c r="H12" s="15"/>
      <c r="I12" s="16" t="s">
        <v>113</v>
      </c>
      <c r="J12" s="17" t="s">
        <v>114</v>
      </c>
    </row>
    <row r="13" spans="1:10" ht="30.75" customHeight="1">
      <c r="A13" s="13"/>
      <c r="B13" s="339" t="s">
        <v>115</v>
      </c>
      <c r="C13" s="340"/>
      <c r="D13" s="13"/>
      <c r="E13" s="24" t="s">
        <v>144</v>
      </c>
      <c r="F13" s="25" t="s">
        <v>64</v>
      </c>
      <c r="G13" s="25" t="s">
        <v>64</v>
      </c>
      <c r="H13" s="15" t="s">
        <v>147</v>
      </c>
      <c r="I13" s="18"/>
      <c r="J13" s="19"/>
    </row>
    <row r="14" spans="1:10">
      <c r="A14" s="8"/>
      <c r="B14" s="8"/>
      <c r="C14" s="8"/>
      <c r="D14" s="8"/>
      <c r="E14" s="8"/>
      <c r="F14" s="8"/>
      <c r="G14" s="8"/>
      <c r="H14" s="8"/>
      <c r="I14" s="8"/>
      <c r="J14" s="20"/>
    </row>
    <row r="15" spans="1:10" ht="45.75" customHeight="1">
      <c r="A15" s="21" t="s">
        <v>116</v>
      </c>
      <c r="B15" s="341" t="s">
        <v>149</v>
      </c>
      <c r="C15" s="342"/>
      <c r="D15" s="342"/>
      <c r="E15" s="342"/>
      <c r="F15" s="342"/>
      <c r="G15" s="342"/>
      <c r="H15" s="342"/>
      <c r="I15" s="342"/>
      <c r="J15" s="342"/>
    </row>
    <row r="16" spans="1:10" ht="50.25" customHeight="1">
      <c r="A16" s="323" t="s">
        <v>117</v>
      </c>
      <c r="B16" s="324"/>
      <c r="C16" s="324"/>
      <c r="D16" s="324"/>
      <c r="E16" s="324"/>
      <c r="F16" s="324"/>
      <c r="G16" s="325"/>
      <c r="H16" s="321" t="s">
        <v>124</v>
      </c>
      <c r="I16" s="343" t="s">
        <v>125</v>
      </c>
      <c r="J16" s="343" t="s">
        <v>148</v>
      </c>
    </row>
    <row r="17" spans="1:10" ht="120.75" customHeight="1">
      <c r="A17" s="326"/>
      <c r="B17" s="327"/>
      <c r="C17" s="327"/>
      <c r="D17" s="327"/>
      <c r="E17" s="327"/>
      <c r="F17" s="327"/>
      <c r="G17" s="328"/>
      <c r="H17" s="322"/>
      <c r="I17" s="344"/>
      <c r="J17" s="344"/>
    </row>
    <row r="18" spans="1:10" ht="30" hidden="1" customHeight="1">
      <c r="A18" s="333" t="s">
        <v>118</v>
      </c>
      <c r="B18" s="334"/>
      <c r="C18" s="334"/>
      <c r="D18" s="334"/>
      <c r="E18" s="334"/>
      <c r="F18" s="334"/>
      <c r="G18" s="335"/>
      <c r="H18" s="22"/>
      <c r="I18" s="22"/>
      <c r="J18" s="22"/>
    </row>
    <row r="19" spans="1:10" ht="33.75" customHeight="1">
      <c r="A19" s="336" t="s">
        <v>119</v>
      </c>
      <c r="B19" s="337"/>
      <c r="C19" s="337"/>
      <c r="D19" s="337"/>
      <c r="E19" s="337"/>
      <c r="F19" s="337"/>
      <c r="G19" s="338"/>
      <c r="H19" s="26">
        <v>5800</v>
      </c>
      <c r="I19" s="26">
        <v>5800</v>
      </c>
      <c r="J19" s="26">
        <v>0</v>
      </c>
    </row>
  </sheetData>
  <mergeCells count="23"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  <mergeCell ref="A18:G18"/>
    <mergeCell ref="A19:G19"/>
    <mergeCell ref="B13:C13"/>
    <mergeCell ref="B15:J15"/>
    <mergeCell ref="J16:J17"/>
    <mergeCell ref="I16:I17"/>
    <mergeCell ref="B12:C12"/>
    <mergeCell ref="H16:H17"/>
    <mergeCell ref="A16:G17"/>
    <mergeCell ref="E10:H10"/>
    <mergeCell ref="A10:A11"/>
    <mergeCell ref="B10:C11"/>
    <mergeCell ref="D10:D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P579"/>
  <sheetViews>
    <sheetView view="pageBreakPreview" zoomScale="130" zoomScaleNormal="100" zoomScaleSheetLayoutView="130" workbookViewId="0">
      <selection activeCell="A6" sqref="A6:A7"/>
    </sheetView>
  </sheetViews>
  <sheetFormatPr defaultRowHeight="12.75" outlineLevelRow="5"/>
  <cols>
    <col min="1" max="1" width="31.6640625" style="215" customWidth="1"/>
    <col min="2" max="3" width="4.44140625" style="215" customWidth="1"/>
    <col min="4" max="4" width="9.88671875" style="215" customWidth="1"/>
    <col min="5" max="5" width="4.44140625" style="215" customWidth="1"/>
    <col min="6" max="6" width="9.21875" style="215" customWidth="1"/>
    <col min="7" max="7" width="10" style="215" customWidth="1"/>
    <col min="8" max="8" width="9.88671875" style="215" customWidth="1"/>
    <col min="9" max="14" width="0.109375" style="215" customWidth="1"/>
    <col min="15" max="15" width="6.88671875" style="215" customWidth="1"/>
    <col min="16" max="256" width="8.88671875" style="215"/>
    <col min="257" max="257" width="31.6640625" style="215" customWidth="1"/>
    <col min="258" max="259" width="4.44140625" style="215" customWidth="1"/>
    <col min="260" max="260" width="9.88671875" style="215" customWidth="1"/>
    <col min="261" max="261" width="4.44140625" style="215" customWidth="1"/>
    <col min="262" max="264" width="13" style="215" customWidth="1"/>
    <col min="265" max="270" width="0.109375" style="215" customWidth="1"/>
    <col min="271" max="271" width="6.88671875" style="215" customWidth="1"/>
    <col min="272" max="512" width="8.88671875" style="215"/>
    <col min="513" max="513" width="31.6640625" style="215" customWidth="1"/>
    <col min="514" max="515" width="4.44140625" style="215" customWidth="1"/>
    <col min="516" max="516" width="9.88671875" style="215" customWidth="1"/>
    <col min="517" max="517" width="4.44140625" style="215" customWidth="1"/>
    <col min="518" max="520" width="13" style="215" customWidth="1"/>
    <col min="521" max="526" width="0.109375" style="215" customWidth="1"/>
    <col min="527" max="527" width="6.88671875" style="215" customWidth="1"/>
    <col min="528" max="768" width="8.88671875" style="215"/>
    <col min="769" max="769" width="31.6640625" style="215" customWidth="1"/>
    <col min="770" max="771" width="4.44140625" style="215" customWidth="1"/>
    <col min="772" max="772" width="9.88671875" style="215" customWidth="1"/>
    <col min="773" max="773" width="4.44140625" style="215" customWidth="1"/>
    <col min="774" max="776" width="13" style="215" customWidth="1"/>
    <col min="777" max="782" width="0.109375" style="215" customWidth="1"/>
    <col min="783" max="783" width="6.88671875" style="215" customWidth="1"/>
    <col min="784" max="1024" width="8.88671875" style="215"/>
    <col min="1025" max="1025" width="31.6640625" style="215" customWidth="1"/>
    <col min="1026" max="1027" width="4.44140625" style="215" customWidth="1"/>
    <col min="1028" max="1028" width="9.88671875" style="215" customWidth="1"/>
    <col min="1029" max="1029" width="4.44140625" style="215" customWidth="1"/>
    <col min="1030" max="1032" width="13" style="215" customWidth="1"/>
    <col min="1033" max="1038" width="0.109375" style="215" customWidth="1"/>
    <col min="1039" max="1039" width="6.88671875" style="215" customWidth="1"/>
    <col min="1040" max="1280" width="8.88671875" style="215"/>
    <col min="1281" max="1281" width="31.6640625" style="215" customWidth="1"/>
    <col min="1282" max="1283" width="4.44140625" style="215" customWidth="1"/>
    <col min="1284" max="1284" width="9.88671875" style="215" customWidth="1"/>
    <col min="1285" max="1285" width="4.44140625" style="215" customWidth="1"/>
    <col min="1286" max="1288" width="13" style="215" customWidth="1"/>
    <col min="1289" max="1294" width="0.109375" style="215" customWidth="1"/>
    <col min="1295" max="1295" width="6.88671875" style="215" customWidth="1"/>
    <col min="1296" max="1536" width="8.88671875" style="215"/>
    <col min="1537" max="1537" width="31.6640625" style="215" customWidth="1"/>
    <col min="1538" max="1539" width="4.44140625" style="215" customWidth="1"/>
    <col min="1540" max="1540" width="9.88671875" style="215" customWidth="1"/>
    <col min="1541" max="1541" width="4.44140625" style="215" customWidth="1"/>
    <col min="1542" max="1544" width="13" style="215" customWidth="1"/>
    <col min="1545" max="1550" width="0.109375" style="215" customWidth="1"/>
    <col min="1551" max="1551" width="6.88671875" style="215" customWidth="1"/>
    <col min="1552" max="1792" width="8.88671875" style="215"/>
    <col min="1793" max="1793" width="31.6640625" style="215" customWidth="1"/>
    <col min="1794" max="1795" width="4.44140625" style="215" customWidth="1"/>
    <col min="1796" max="1796" width="9.88671875" style="215" customWidth="1"/>
    <col min="1797" max="1797" width="4.44140625" style="215" customWidth="1"/>
    <col min="1798" max="1800" width="13" style="215" customWidth="1"/>
    <col min="1801" max="1806" width="0.109375" style="215" customWidth="1"/>
    <col min="1807" max="1807" width="6.88671875" style="215" customWidth="1"/>
    <col min="1808" max="2048" width="8.88671875" style="215"/>
    <col min="2049" max="2049" width="31.6640625" style="215" customWidth="1"/>
    <col min="2050" max="2051" width="4.44140625" style="215" customWidth="1"/>
    <col min="2052" max="2052" width="9.88671875" style="215" customWidth="1"/>
    <col min="2053" max="2053" width="4.44140625" style="215" customWidth="1"/>
    <col min="2054" max="2056" width="13" style="215" customWidth="1"/>
    <col min="2057" max="2062" width="0.109375" style="215" customWidth="1"/>
    <col min="2063" max="2063" width="6.88671875" style="215" customWidth="1"/>
    <col min="2064" max="2304" width="8.88671875" style="215"/>
    <col min="2305" max="2305" width="31.6640625" style="215" customWidth="1"/>
    <col min="2306" max="2307" width="4.44140625" style="215" customWidth="1"/>
    <col min="2308" max="2308" width="9.88671875" style="215" customWidth="1"/>
    <col min="2309" max="2309" width="4.44140625" style="215" customWidth="1"/>
    <col min="2310" max="2312" width="13" style="215" customWidth="1"/>
    <col min="2313" max="2318" width="0.109375" style="215" customWidth="1"/>
    <col min="2319" max="2319" width="6.88671875" style="215" customWidth="1"/>
    <col min="2320" max="2560" width="8.88671875" style="215"/>
    <col min="2561" max="2561" width="31.6640625" style="215" customWidth="1"/>
    <col min="2562" max="2563" width="4.44140625" style="215" customWidth="1"/>
    <col min="2564" max="2564" width="9.88671875" style="215" customWidth="1"/>
    <col min="2565" max="2565" width="4.44140625" style="215" customWidth="1"/>
    <col min="2566" max="2568" width="13" style="215" customWidth="1"/>
    <col min="2569" max="2574" width="0.109375" style="215" customWidth="1"/>
    <col min="2575" max="2575" width="6.88671875" style="215" customWidth="1"/>
    <col min="2576" max="2816" width="8.88671875" style="215"/>
    <col min="2817" max="2817" width="31.6640625" style="215" customWidth="1"/>
    <col min="2818" max="2819" width="4.44140625" style="215" customWidth="1"/>
    <col min="2820" max="2820" width="9.88671875" style="215" customWidth="1"/>
    <col min="2821" max="2821" width="4.44140625" style="215" customWidth="1"/>
    <col min="2822" max="2824" width="13" style="215" customWidth="1"/>
    <col min="2825" max="2830" width="0.109375" style="215" customWidth="1"/>
    <col min="2831" max="2831" width="6.88671875" style="215" customWidth="1"/>
    <col min="2832" max="3072" width="8.88671875" style="215"/>
    <col min="3073" max="3073" width="31.6640625" style="215" customWidth="1"/>
    <col min="3074" max="3075" width="4.44140625" style="215" customWidth="1"/>
    <col min="3076" max="3076" width="9.88671875" style="215" customWidth="1"/>
    <col min="3077" max="3077" width="4.44140625" style="215" customWidth="1"/>
    <col min="3078" max="3080" width="13" style="215" customWidth="1"/>
    <col min="3081" max="3086" width="0.109375" style="215" customWidth="1"/>
    <col min="3087" max="3087" width="6.88671875" style="215" customWidth="1"/>
    <col min="3088" max="3328" width="8.88671875" style="215"/>
    <col min="3329" max="3329" width="31.6640625" style="215" customWidth="1"/>
    <col min="3330" max="3331" width="4.44140625" style="215" customWidth="1"/>
    <col min="3332" max="3332" width="9.88671875" style="215" customWidth="1"/>
    <col min="3333" max="3333" width="4.44140625" style="215" customWidth="1"/>
    <col min="3334" max="3336" width="13" style="215" customWidth="1"/>
    <col min="3337" max="3342" width="0.109375" style="215" customWidth="1"/>
    <col min="3343" max="3343" width="6.88671875" style="215" customWidth="1"/>
    <col min="3344" max="3584" width="8.88671875" style="215"/>
    <col min="3585" max="3585" width="31.6640625" style="215" customWidth="1"/>
    <col min="3586" max="3587" width="4.44140625" style="215" customWidth="1"/>
    <col min="3588" max="3588" width="9.88671875" style="215" customWidth="1"/>
    <col min="3589" max="3589" width="4.44140625" style="215" customWidth="1"/>
    <col min="3590" max="3592" width="13" style="215" customWidth="1"/>
    <col min="3593" max="3598" width="0.109375" style="215" customWidth="1"/>
    <col min="3599" max="3599" width="6.88671875" style="215" customWidth="1"/>
    <col min="3600" max="3840" width="8.88671875" style="215"/>
    <col min="3841" max="3841" width="31.6640625" style="215" customWidth="1"/>
    <col min="3842" max="3843" width="4.44140625" style="215" customWidth="1"/>
    <col min="3844" max="3844" width="9.88671875" style="215" customWidth="1"/>
    <col min="3845" max="3845" width="4.44140625" style="215" customWidth="1"/>
    <col min="3846" max="3848" width="13" style="215" customWidth="1"/>
    <col min="3849" max="3854" width="0.109375" style="215" customWidth="1"/>
    <col min="3855" max="3855" width="6.88671875" style="215" customWidth="1"/>
    <col min="3856" max="4096" width="8.88671875" style="215"/>
    <col min="4097" max="4097" width="31.6640625" style="215" customWidth="1"/>
    <col min="4098" max="4099" width="4.44140625" style="215" customWidth="1"/>
    <col min="4100" max="4100" width="9.88671875" style="215" customWidth="1"/>
    <col min="4101" max="4101" width="4.44140625" style="215" customWidth="1"/>
    <col min="4102" max="4104" width="13" style="215" customWidth="1"/>
    <col min="4105" max="4110" width="0.109375" style="215" customWidth="1"/>
    <col min="4111" max="4111" width="6.88671875" style="215" customWidth="1"/>
    <col min="4112" max="4352" width="8.88671875" style="215"/>
    <col min="4353" max="4353" width="31.6640625" style="215" customWidth="1"/>
    <col min="4354" max="4355" width="4.44140625" style="215" customWidth="1"/>
    <col min="4356" max="4356" width="9.88671875" style="215" customWidth="1"/>
    <col min="4357" max="4357" width="4.44140625" style="215" customWidth="1"/>
    <col min="4358" max="4360" width="13" style="215" customWidth="1"/>
    <col min="4361" max="4366" width="0.109375" style="215" customWidth="1"/>
    <col min="4367" max="4367" width="6.88671875" style="215" customWidth="1"/>
    <col min="4368" max="4608" width="8.88671875" style="215"/>
    <col min="4609" max="4609" width="31.6640625" style="215" customWidth="1"/>
    <col min="4610" max="4611" width="4.44140625" style="215" customWidth="1"/>
    <col min="4612" max="4612" width="9.88671875" style="215" customWidth="1"/>
    <col min="4613" max="4613" width="4.44140625" style="215" customWidth="1"/>
    <col min="4614" max="4616" width="13" style="215" customWidth="1"/>
    <col min="4617" max="4622" width="0.109375" style="215" customWidth="1"/>
    <col min="4623" max="4623" width="6.88671875" style="215" customWidth="1"/>
    <col min="4624" max="4864" width="8.88671875" style="215"/>
    <col min="4865" max="4865" width="31.6640625" style="215" customWidth="1"/>
    <col min="4866" max="4867" width="4.44140625" style="215" customWidth="1"/>
    <col min="4868" max="4868" width="9.88671875" style="215" customWidth="1"/>
    <col min="4869" max="4869" width="4.44140625" style="215" customWidth="1"/>
    <col min="4870" max="4872" width="13" style="215" customWidth="1"/>
    <col min="4873" max="4878" width="0.109375" style="215" customWidth="1"/>
    <col min="4879" max="4879" width="6.88671875" style="215" customWidth="1"/>
    <col min="4880" max="5120" width="8.88671875" style="215"/>
    <col min="5121" max="5121" width="31.6640625" style="215" customWidth="1"/>
    <col min="5122" max="5123" width="4.44140625" style="215" customWidth="1"/>
    <col min="5124" max="5124" width="9.88671875" style="215" customWidth="1"/>
    <col min="5125" max="5125" width="4.44140625" style="215" customWidth="1"/>
    <col min="5126" max="5128" width="13" style="215" customWidth="1"/>
    <col min="5129" max="5134" width="0.109375" style="215" customWidth="1"/>
    <col min="5135" max="5135" width="6.88671875" style="215" customWidth="1"/>
    <col min="5136" max="5376" width="8.88671875" style="215"/>
    <col min="5377" max="5377" width="31.6640625" style="215" customWidth="1"/>
    <col min="5378" max="5379" width="4.44140625" style="215" customWidth="1"/>
    <col min="5380" max="5380" width="9.88671875" style="215" customWidth="1"/>
    <col min="5381" max="5381" width="4.44140625" style="215" customWidth="1"/>
    <col min="5382" max="5384" width="13" style="215" customWidth="1"/>
    <col min="5385" max="5390" width="0.109375" style="215" customWidth="1"/>
    <col min="5391" max="5391" width="6.88671875" style="215" customWidth="1"/>
    <col min="5392" max="5632" width="8.88671875" style="215"/>
    <col min="5633" max="5633" width="31.6640625" style="215" customWidth="1"/>
    <col min="5634" max="5635" width="4.44140625" style="215" customWidth="1"/>
    <col min="5636" max="5636" width="9.88671875" style="215" customWidth="1"/>
    <col min="5637" max="5637" width="4.44140625" style="215" customWidth="1"/>
    <col min="5638" max="5640" width="13" style="215" customWidth="1"/>
    <col min="5641" max="5646" width="0.109375" style="215" customWidth="1"/>
    <col min="5647" max="5647" width="6.88671875" style="215" customWidth="1"/>
    <col min="5648" max="5888" width="8.88671875" style="215"/>
    <col min="5889" max="5889" width="31.6640625" style="215" customWidth="1"/>
    <col min="5890" max="5891" width="4.44140625" style="215" customWidth="1"/>
    <col min="5892" max="5892" width="9.88671875" style="215" customWidth="1"/>
    <col min="5893" max="5893" width="4.44140625" style="215" customWidth="1"/>
    <col min="5894" max="5896" width="13" style="215" customWidth="1"/>
    <col min="5897" max="5902" width="0.109375" style="215" customWidth="1"/>
    <col min="5903" max="5903" width="6.88671875" style="215" customWidth="1"/>
    <col min="5904" max="6144" width="8.88671875" style="215"/>
    <col min="6145" max="6145" width="31.6640625" style="215" customWidth="1"/>
    <col min="6146" max="6147" width="4.44140625" style="215" customWidth="1"/>
    <col min="6148" max="6148" width="9.88671875" style="215" customWidth="1"/>
    <col min="6149" max="6149" width="4.44140625" style="215" customWidth="1"/>
    <col min="6150" max="6152" width="13" style="215" customWidth="1"/>
    <col min="6153" max="6158" width="0.109375" style="215" customWidth="1"/>
    <col min="6159" max="6159" width="6.88671875" style="215" customWidth="1"/>
    <col min="6160" max="6400" width="8.88671875" style="215"/>
    <col min="6401" max="6401" width="31.6640625" style="215" customWidth="1"/>
    <col min="6402" max="6403" width="4.44140625" style="215" customWidth="1"/>
    <col min="6404" max="6404" width="9.88671875" style="215" customWidth="1"/>
    <col min="6405" max="6405" width="4.44140625" style="215" customWidth="1"/>
    <col min="6406" max="6408" width="13" style="215" customWidth="1"/>
    <col min="6409" max="6414" width="0.109375" style="215" customWidth="1"/>
    <col min="6415" max="6415" width="6.88671875" style="215" customWidth="1"/>
    <col min="6416" max="6656" width="8.88671875" style="215"/>
    <col min="6657" max="6657" width="31.6640625" style="215" customWidth="1"/>
    <col min="6658" max="6659" width="4.44140625" style="215" customWidth="1"/>
    <col min="6660" max="6660" width="9.88671875" style="215" customWidth="1"/>
    <col min="6661" max="6661" width="4.44140625" style="215" customWidth="1"/>
    <col min="6662" max="6664" width="13" style="215" customWidth="1"/>
    <col min="6665" max="6670" width="0.109375" style="215" customWidth="1"/>
    <col min="6671" max="6671" width="6.88671875" style="215" customWidth="1"/>
    <col min="6672" max="6912" width="8.88671875" style="215"/>
    <col min="6913" max="6913" width="31.6640625" style="215" customWidth="1"/>
    <col min="6914" max="6915" width="4.44140625" style="215" customWidth="1"/>
    <col min="6916" max="6916" width="9.88671875" style="215" customWidth="1"/>
    <col min="6917" max="6917" width="4.44140625" style="215" customWidth="1"/>
    <col min="6918" max="6920" width="13" style="215" customWidth="1"/>
    <col min="6921" max="6926" width="0.109375" style="215" customWidth="1"/>
    <col min="6927" max="6927" width="6.88671875" style="215" customWidth="1"/>
    <col min="6928" max="7168" width="8.88671875" style="215"/>
    <col min="7169" max="7169" width="31.6640625" style="215" customWidth="1"/>
    <col min="7170" max="7171" width="4.44140625" style="215" customWidth="1"/>
    <col min="7172" max="7172" width="9.88671875" style="215" customWidth="1"/>
    <col min="7173" max="7173" width="4.44140625" style="215" customWidth="1"/>
    <col min="7174" max="7176" width="13" style="215" customWidth="1"/>
    <col min="7177" max="7182" width="0.109375" style="215" customWidth="1"/>
    <col min="7183" max="7183" width="6.88671875" style="215" customWidth="1"/>
    <col min="7184" max="7424" width="8.88671875" style="215"/>
    <col min="7425" max="7425" width="31.6640625" style="215" customWidth="1"/>
    <col min="7426" max="7427" width="4.44140625" style="215" customWidth="1"/>
    <col min="7428" max="7428" width="9.88671875" style="215" customWidth="1"/>
    <col min="7429" max="7429" width="4.44140625" style="215" customWidth="1"/>
    <col min="7430" max="7432" width="13" style="215" customWidth="1"/>
    <col min="7433" max="7438" width="0.109375" style="215" customWidth="1"/>
    <col min="7439" max="7439" width="6.88671875" style="215" customWidth="1"/>
    <col min="7440" max="7680" width="8.88671875" style="215"/>
    <col min="7681" max="7681" width="31.6640625" style="215" customWidth="1"/>
    <col min="7682" max="7683" width="4.44140625" style="215" customWidth="1"/>
    <col min="7684" max="7684" width="9.88671875" style="215" customWidth="1"/>
    <col min="7685" max="7685" width="4.44140625" style="215" customWidth="1"/>
    <col min="7686" max="7688" width="13" style="215" customWidth="1"/>
    <col min="7689" max="7694" width="0.109375" style="215" customWidth="1"/>
    <col min="7695" max="7695" width="6.88671875" style="215" customWidth="1"/>
    <col min="7696" max="7936" width="8.88671875" style="215"/>
    <col min="7937" max="7937" width="31.6640625" style="215" customWidth="1"/>
    <col min="7938" max="7939" width="4.44140625" style="215" customWidth="1"/>
    <col min="7940" max="7940" width="9.88671875" style="215" customWidth="1"/>
    <col min="7941" max="7941" width="4.44140625" style="215" customWidth="1"/>
    <col min="7942" max="7944" width="13" style="215" customWidth="1"/>
    <col min="7945" max="7950" width="0.109375" style="215" customWidth="1"/>
    <col min="7951" max="7951" width="6.88671875" style="215" customWidth="1"/>
    <col min="7952" max="8192" width="8.88671875" style="215"/>
    <col min="8193" max="8193" width="31.6640625" style="215" customWidth="1"/>
    <col min="8194" max="8195" width="4.44140625" style="215" customWidth="1"/>
    <col min="8196" max="8196" width="9.88671875" style="215" customWidth="1"/>
    <col min="8197" max="8197" width="4.44140625" style="215" customWidth="1"/>
    <col min="8198" max="8200" width="13" style="215" customWidth="1"/>
    <col min="8201" max="8206" width="0.109375" style="215" customWidth="1"/>
    <col min="8207" max="8207" width="6.88671875" style="215" customWidth="1"/>
    <col min="8208" max="8448" width="8.88671875" style="215"/>
    <col min="8449" max="8449" width="31.6640625" style="215" customWidth="1"/>
    <col min="8450" max="8451" width="4.44140625" style="215" customWidth="1"/>
    <col min="8452" max="8452" width="9.88671875" style="215" customWidth="1"/>
    <col min="8453" max="8453" width="4.44140625" style="215" customWidth="1"/>
    <col min="8454" max="8456" width="13" style="215" customWidth="1"/>
    <col min="8457" max="8462" width="0.109375" style="215" customWidth="1"/>
    <col min="8463" max="8463" width="6.88671875" style="215" customWidth="1"/>
    <col min="8464" max="8704" width="8.88671875" style="215"/>
    <col min="8705" max="8705" width="31.6640625" style="215" customWidth="1"/>
    <col min="8706" max="8707" width="4.44140625" style="215" customWidth="1"/>
    <col min="8708" max="8708" width="9.88671875" style="215" customWidth="1"/>
    <col min="8709" max="8709" width="4.44140625" style="215" customWidth="1"/>
    <col min="8710" max="8712" width="13" style="215" customWidth="1"/>
    <col min="8713" max="8718" width="0.109375" style="215" customWidth="1"/>
    <col min="8719" max="8719" width="6.88671875" style="215" customWidth="1"/>
    <col min="8720" max="8960" width="8.88671875" style="215"/>
    <col min="8961" max="8961" width="31.6640625" style="215" customWidth="1"/>
    <col min="8962" max="8963" width="4.44140625" style="215" customWidth="1"/>
    <col min="8964" max="8964" width="9.88671875" style="215" customWidth="1"/>
    <col min="8965" max="8965" width="4.44140625" style="215" customWidth="1"/>
    <col min="8966" max="8968" width="13" style="215" customWidth="1"/>
    <col min="8969" max="8974" width="0.109375" style="215" customWidth="1"/>
    <col min="8975" max="8975" width="6.88671875" style="215" customWidth="1"/>
    <col min="8976" max="9216" width="8.88671875" style="215"/>
    <col min="9217" max="9217" width="31.6640625" style="215" customWidth="1"/>
    <col min="9218" max="9219" width="4.44140625" style="215" customWidth="1"/>
    <col min="9220" max="9220" width="9.88671875" style="215" customWidth="1"/>
    <col min="9221" max="9221" width="4.44140625" style="215" customWidth="1"/>
    <col min="9222" max="9224" width="13" style="215" customWidth="1"/>
    <col min="9225" max="9230" width="0.109375" style="215" customWidth="1"/>
    <col min="9231" max="9231" width="6.88671875" style="215" customWidth="1"/>
    <col min="9232" max="9472" width="8.88671875" style="215"/>
    <col min="9473" max="9473" width="31.6640625" style="215" customWidth="1"/>
    <col min="9474" max="9475" width="4.44140625" style="215" customWidth="1"/>
    <col min="9476" max="9476" width="9.88671875" style="215" customWidth="1"/>
    <col min="9477" max="9477" width="4.44140625" style="215" customWidth="1"/>
    <col min="9478" max="9480" width="13" style="215" customWidth="1"/>
    <col min="9481" max="9486" width="0.109375" style="215" customWidth="1"/>
    <col min="9487" max="9487" width="6.88671875" style="215" customWidth="1"/>
    <col min="9488" max="9728" width="8.88671875" style="215"/>
    <col min="9729" max="9729" width="31.6640625" style="215" customWidth="1"/>
    <col min="9730" max="9731" width="4.44140625" style="215" customWidth="1"/>
    <col min="9732" max="9732" width="9.88671875" style="215" customWidth="1"/>
    <col min="9733" max="9733" width="4.44140625" style="215" customWidth="1"/>
    <col min="9734" max="9736" width="13" style="215" customWidth="1"/>
    <col min="9737" max="9742" width="0.109375" style="215" customWidth="1"/>
    <col min="9743" max="9743" width="6.88671875" style="215" customWidth="1"/>
    <col min="9744" max="9984" width="8.88671875" style="215"/>
    <col min="9985" max="9985" width="31.6640625" style="215" customWidth="1"/>
    <col min="9986" max="9987" width="4.44140625" style="215" customWidth="1"/>
    <col min="9988" max="9988" width="9.88671875" style="215" customWidth="1"/>
    <col min="9989" max="9989" width="4.44140625" style="215" customWidth="1"/>
    <col min="9990" max="9992" width="13" style="215" customWidth="1"/>
    <col min="9993" max="9998" width="0.109375" style="215" customWidth="1"/>
    <col min="9999" max="9999" width="6.88671875" style="215" customWidth="1"/>
    <col min="10000" max="10240" width="8.88671875" style="215"/>
    <col min="10241" max="10241" width="31.6640625" style="215" customWidth="1"/>
    <col min="10242" max="10243" width="4.44140625" style="215" customWidth="1"/>
    <col min="10244" max="10244" width="9.88671875" style="215" customWidth="1"/>
    <col min="10245" max="10245" width="4.44140625" style="215" customWidth="1"/>
    <col min="10246" max="10248" width="13" style="215" customWidth="1"/>
    <col min="10249" max="10254" width="0.109375" style="215" customWidth="1"/>
    <col min="10255" max="10255" width="6.88671875" style="215" customWidth="1"/>
    <col min="10256" max="10496" width="8.88671875" style="215"/>
    <col min="10497" max="10497" width="31.6640625" style="215" customWidth="1"/>
    <col min="10498" max="10499" width="4.44140625" style="215" customWidth="1"/>
    <col min="10500" max="10500" width="9.88671875" style="215" customWidth="1"/>
    <col min="10501" max="10501" width="4.44140625" style="215" customWidth="1"/>
    <col min="10502" max="10504" width="13" style="215" customWidth="1"/>
    <col min="10505" max="10510" width="0.109375" style="215" customWidth="1"/>
    <col min="10511" max="10511" width="6.88671875" style="215" customWidth="1"/>
    <col min="10512" max="10752" width="8.88671875" style="215"/>
    <col min="10753" max="10753" width="31.6640625" style="215" customWidth="1"/>
    <col min="10754" max="10755" width="4.44140625" style="215" customWidth="1"/>
    <col min="10756" max="10756" width="9.88671875" style="215" customWidth="1"/>
    <col min="10757" max="10757" width="4.44140625" style="215" customWidth="1"/>
    <col min="10758" max="10760" width="13" style="215" customWidth="1"/>
    <col min="10761" max="10766" width="0.109375" style="215" customWidth="1"/>
    <col min="10767" max="10767" width="6.88671875" style="215" customWidth="1"/>
    <col min="10768" max="11008" width="8.88671875" style="215"/>
    <col min="11009" max="11009" width="31.6640625" style="215" customWidth="1"/>
    <col min="11010" max="11011" width="4.44140625" style="215" customWidth="1"/>
    <col min="11012" max="11012" width="9.88671875" style="215" customWidth="1"/>
    <col min="11013" max="11013" width="4.44140625" style="215" customWidth="1"/>
    <col min="11014" max="11016" width="13" style="215" customWidth="1"/>
    <col min="11017" max="11022" width="0.109375" style="215" customWidth="1"/>
    <col min="11023" max="11023" width="6.88671875" style="215" customWidth="1"/>
    <col min="11024" max="11264" width="8.88671875" style="215"/>
    <col min="11265" max="11265" width="31.6640625" style="215" customWidth="1"/>
    <col min="11266" max="11267" width="4.44140625" style="215" customWidth="1"/>
    <col min="11268" max="11268" width="9.88671875" style="215" customWidth="1"/>
    <col min="11269" max="11269" width="4.44140625" style="215" customWidth="1"/>
    <col min="11270" max="11272" width="13" style="215" customWidth="1"/>
    <col min="11273" max="11278" width="0.109375" style="215" customWidth="1"/>
    <col min="11279" max="11279" width="6.88671875" style="215" customWidth="1"/>
    <col min="11280" max="11520" width="8.88671875" style="215"/>
    <col min="11521" max="11521" width="31.6640625" style="215" customWidth="1"/>
    <col min="11522" max="11523" width="4.44140625" style="215" customWidth="1"/>
    <col min="11524" max="11524" width="9.88671875" style="215" customWidth="1"/>
    <col min="11525" max="11525" width="4.44140625" style="215" customWidth="1"/>
    <col min="11526" max="11528" width="13" style="215" customWidth="1"/>
    <col min="11529" max="11534" width="0.109375" style="215" customWidth="1"/>
    <col min="11535" max="11535" width="6.88671875" style="215" customWidth="1"/>
    <col min="11536" max="11776" width="8.88671875" style="215"/>
    <col min="11777" max="11777" width="31.6640625" style="215" customWidth="1"/>
    <col min="11778" max="11779" width="4.44140625" style="215" customWidth="1"/>
    <col min="11780" max="11780" width="9.88671875" style="215" customWidth="1"/>
    <col min="11781" max="11781" width="4.44140625" style="215" customWidth="1"/>
    <col min="11782" max="11784" width="13" style="215" customWidth="1"/>
    <col min="11785" max="11790" width="0.109375" style="215" customWidth="1"/>
    <col min="11791" max="11791" width="6.88671875" style="215" customWidth="1"/>
    <col min="11792" max="12032" width="8.88671875" style="215"/>
    <col min="12033" max="12033" width="31.6640625" style="215" customWidth="1"/>
    <col min="12034" max="12035" width="4.44140625" style="215" customWidth="1"/>
    <col min="12036" max="12036" width="9.88671875" style="215" customWidth="1"/>
    <col min="12037" max="12037" width="4.44140625" style="215" customWidth="1"/>
    <col min="12038" max="12040" width="13" style="215" customWidth="1"/>
    <col min="12041" max="12046" width="0.109375" style="215" customWidth="1"/>
    <col min="12047" max="12047" width="6.88671875" style="215" customWidth="1"/>
    <col min="12048" max="12288" width="8.88671875" style="215"/>
    <col min="12289" max="12289" width="31.6640625" style="215" customWidth="1"/>
    <col min="12290" max="12291" width="4.44140625" style="215" customWidth="1"/>
    <col min="12292" max="12292" width="9.88671875" style="215" customWidth="1"/>
    <col min="12293" max="12293" width="4.44140625" style="215" customWidth="1"/>
    <col min="12294" max="12296" width="13" style="215" customWidth="1"/>
    <col min="12297" max="12302" width="0.109375" style="215" customWidth="1"/>
    <col min="12303" max="12303" width="6.88671875" style="215" customWidth="1"/>
    <col min="12304" max="12544" width="8.88671875" style="215"/>
    <col min="12545" max="12545" width="31.6640625" style="215" customWidth="1"/>
    <col min="12546" max="12547" width="4.44140625" style="215" customWidth="1"/>
    <col min="12548" max="12548" width="9.88671875" style="215" customWidth="1"/>
    <col min="12549" max="12549" width="4.44140625" style="215" customWidth="1"/>
    <col min="12550" max="12552" width="13" style="215" customWidth="1"/>
    <col min="12553" max="12558" width="0.109375" style="215" customWidth="1"/>
    <col min="12559" max="12559" width="6.88671875" style="215" customWidth="1"/>
    <col min="12560" max="12800" width="8.88671875" style="215"/>
    <col min="12801" max="12801" width="31.6640625" style="215" customWidth="1"/>
    <col min="12802" max="12803" width="4.44140625" style="215" customWidth="1"/>
    <col min="12804" max="12804" width="9.88671875" style="215" customWidth="1"/>
    <col min="12805" max="12805" width="4.44140625" style="215" customWidth="1"/>
    <col min="12806" max="12808" width="13" style="215" customWidth="1"/>
    <col min="12809" max="12814" width="0.109375" style="215" customWidth="1"/>
    <col min="12815" max="12815" width="6.88671875" style="215" customWidth="1"/>
    <col min="12816" max="13056" width="8.88671875" style="215"/>
    <col min="13057" max="13057" width="31.6640625" style="215" customWidth="1"/>
    <col min="13058" max="13059" width="4.44140625" style="215" customWidth="1"/>
    <col min="13060" max="13060" width="9.88671875" style="215" customWidth="1"/>
    <col min="13061" max="13061" width="4.44140625" style="215" customWidth="1"/>
    <col min="13062" max="13064" width="13" style="215" customWidth="1"/>
    <col min="13065" max="13070" width="0.109375" style="215" customWidth="1"/>
    <col min="13071" max="13071" width="6.88671875" style="215" customWidth="1"/>
    <col min="13072" max="13312" width="8.88671875" style="215"/>
    <col min="13313" max="13313" width="31.6640625" style="215" customWidth="1"/>
    <col min="13314" max="13315" width="4.44140625" style="215" customWidth="1"/>
    <col min="13316" max="13316" width="9.88671875" style="215" customWidth="1"/>
    <col min="13317" max="13317" width="4.44140625" style="215" customWidth="1"/>
    <col min="13318" max="13320" width="13" style="215" customWidth="1"/>
    <col min="13321" max="13326" width="0.109375" style="215" customWidth="1"/>
    <col min="13327" max="13327" width="6.88671875" style="215" customWidth="1"/>
    <col min="13328" max="13568" width="8.88671875" style="215"/>
    <col min="13569" max="13569" width="31.6640625" style="215" customWidth="1"/>
    <col min="13570" max="13571" width="4.44140625" style="215" customWidth="1"/>
    <col min="13572" max="13572" width="9.88671875" style="215" customWidth="1"/>
    <col min="13573" max="13573" width="4.44140625" style="215" customWidth="1"/>
    <col min="13574" max="13576" width="13" style="215" customWidth="1"/>
    <col min="13577" max="13582" width="0.109375" style="215" customWidth="1"/>
    <col min="13583" max="13583" width="6.88671875" style="215" customWidth="1"/>
    <col min="13584" max="13824" width="8.88671875" style="215"/>
    <col min="13825" max="13825" width="31.6640625" style="215" customWidth="1"/>
    <col min="13826" max="13827" width="4.44140625" style="215" customWidth="1"/>
    <col min="13828" max="13828" width="9.88671875" style="215" customWidth="1"/>
    <col min="13829" max="13829" width="4.44140625" style="215" customWidth="1"/>
    <col min="13830" max="13832" width="13" style="215" customWidth="1"/>
    <col min="13833" max="13838" width="0.109375" style="215" customWidth="1"/>
    <col min="13839" max="13839" width="6.88671875" style="215" customWidth="1"/>
    <col min="13840" max="14080" width="8.88671875" style="215"/>
    <col min="14081" max="14081" width="31.6640625" style="215" customWidth="1"/>
    <col min="14082" max="14083" width="4.44140625" style="215" customWidth="1"/>
    <col min="14084" max="14084" width="9.88671875" style="215" customWidth="1"/>
    <col min="14085" max="14085" width="4.44140625" style="215" customWidth="1"/>
    <col min="14086" max="14088" width="13" style="215" customWidth="1"/>
    <col min="14089" max="14094" width="0.109375" style="215" customWidth="1"/>
    <col min="14095" max="14095" width="6.88671875" style="215" customWidth="1"/>
    <col min="14096" max="14336" width="8.88671875" style="215"/>
    <col min="14337" max="14337" width="31.6640625" style="215" customWidth="1"/>
    <col min="14338" max="14339" width="4.44140625" style="215" customWidth="1"/>
    <col min="14340" max="14340" width="9.88671875" style="215" customWidth="1"/>
    <col min="14341" max="14341" width="4.44140625" style="215" customWidth="1"/>
    <col min="14342" max="14344" width="13" style="215" customWidth="1"/>
    <col min="14345" max="14350" width="0.109375" style="215" customWidth="1"/>
    <col min="14351" max="14351" width="6.88671875" style="215" customWidth="1"/>
    <col min="14352" max="14592" width="8.88671875" style="215"/>
    <col min="14593" max="14593" width="31.6640625" style="215" customWidth="1"/>
    <col min="14594" max="14595" width="4.44140625" style="215" customWidth="1"/>
    <col min="14596" max="14596" width="9.88671875" style="215" customWidth="1"/>
    <col min="14597" max="14597" width="4.44140625" style="215" customWidth="1"/>
    <col min="14598" max="14600" width="13" style="215" customWidth="1"/>
    <col min="14601" max="14606" width="0.109375" style="215" customWidth="1"/>
    <col min="14607" max="14607" width="6.88671875" style="215" customWidth="1"/>
    <col min="14608" max="14848" width="8.88671875" style="215"/>
    <col min="14849" max="14849" width="31.6640625" style="215" customWidth="1"/>
    <col min="14850" max="14851" width="4.44140625" style="215" customWidth="1"/>
    <col min="14852" max="14852" width="9.88671875" style="215" customWidth="1"/>
    <col min="14853" max="14853" width="4.44140625" style="215" customWidth="1"/>
    <col min="14854" max="14856" width="13" style="215" customWidth="1"/>
    <col min="14857" max="14862" width="0.109375" style="215" customWidth="1"/>
    <col min="14863" max="14863" width="6.88671875" style="215" customWidth="1"/>
    <col min="14864" max="15104" width="8.88671875" style="215"/>
    <col min="15105" max="15105" width="31.6640625" style="215" customWidth="1"/>
    <col min="15106" max="15107" width="4.44140625" style="215" customWidth="1"/>
    <col min="15108" max="15108" width="9.88671875" style="215" customWidth="1"/>
    <col min="15109" max="15109" width="4.44140625" style="215" customWidth="1"/>
    <col min="15110" max="15112" width="13" style="215" customWidth="1"/>
    <col min="15113" max="15118" width="0.109375" style="215" customWidth="1"/>
    <col min="15119" max="15119" width="6.88671875" style="215" customWidth="1"/>
    <col min="15120" max="15360" width="8.88671875" style="215"/>
    <col min="15361" max="15361" width="31.6640625" style="215" customWidth="1"/>
    <col min="15362" max="15363" width="4.44140625" style="215" customWidth="1"/>
    <col min="15364" max="15364" width="9.88671875" style="215" customWidth="1"/>
    <col min="15365" max="15365" width="4.44140625" style="215" customWidth="1"/>
    <col min="15366" max="15368" width="13" style="215" customWidth="1"/>
    <col min="15369" max="15374" width="0.109375" style="215" customWidth="1"/>
    <col min="15375" max="15375" width="6.88671875" style="215" customWidth="1"/>
    <col min="15376" max="15616" width="8.88671875" style="215"/>
    <col min="15617" max="15617" width="31.6640625" style="215" customWidth="1"/>
    <col min="15618" max="15619" width="4.44140625" style="215" customWidth="1"/>
    <col min="15620" max="15620" width="9.88671875" style="215" customWidth="1"/>
    <col min="15621" max="15621" width="4.44140625" style="215" customWidth="1"/>
    <col min="15622" max="15624" width="13" style="215" customWidth="1"/>
    <col min="15625" max="15630" width="0.109375" style="215" customWidth="1"/>
    <col min="15631" max="15631" width="6.88671875" style="215" customWidth="1"/>
    <col min="15632" max="15872" width="8.88671875" style="215"/>
    <col min="15873" max="15873" width="31.6640625" style="215" customWidth="1"/>
    <col min="15874" max="15875" width="4.44140625" style="215" customWidth="1"/>
    <col min="15876" max="15876" width="9.88671875" style="215" customWidth="1"/>
    <col min="15877" max="15877" width="4.44140625" style="215" customWidth="1"/>
    <col min="15878" max="15880" width="13" style="215" customWidth="1"/>
    <col min="15881" max="15886" width="0.109375" style="215" customWidth="1"/>
    <col min="15887" max="15887" width="6.88671875" style="215" customWidth="1"/>
    <col min="15888" max="16128" width="8.88671875" style="215"/>
    <col min="16129" max="16129" width="31.6640625" style="215" customWidth="1"/>
    <col min="16130" max="16131" width="4.44140625" style="215" customWidth="1"/>
    <col min="16132" max="16132" width="9.88671875" style="215" customWidth="1"/>
    <col min="16133" max="16133" width="4.44140625" style="215" customWidth="1"/>
    <col min="16134" max="16136" width="13" style="215" customWidth="1"/>
    <col min="16137" max="16142" width="0.109375" style="215" customWidth="1"/>
    <col min="16143" max="16143" width="6.88671875" style="215" customWidth="1"/>
    <col min="16144" max="16384" width="8.88671875" style="215"/>
  </cols>
  <sheetData>
    <row r="1" spans="1:16" ht="126" customHeight="1">
      <c r="A1" s="230" t="s">
        <v>1290</v>
      </c>
      <c r="B1" s="230"/>
      <c r="C1" s="230"/>
      <c r="D1" s="230"/>
      <c r="E1" s="230"/>
      <c r="F1" s="230"/>
      <c r="G1" s="230"/>
      <c r="H1" s="230"/>
      <c r="I1" s="214"/>
      <c r="J1" s="214"/>
      <c r="K1" s="214"/>
      <c r="L1" s="214"/>
      <c r="M1" s="214"/>
      <c r="N1" s="214"/>
      <c r="O1" s="214"/>
    </row>
    <row r="2" spans="1:16" ht="107.25" customHeight="1">
      <c r="A2" s="353" t="s">
        <v>1396</v>
      </c>
      <c r="B2" s="353"/>
      <c r="C2" s="353"/>
      <c r="D2" s="353"/>
      <c r="E2" s="353"/>
      <c r="F2" s="353"/>
      <c r="G2" s="353"/>
      <c r="H2" s="353"/>
      <c r="I2" s="227"/>
      <c r="J2" s="227"/>
      <c r="K2" s="227"/>
      <c r="L2" s="227"/>
      <c r="M2" s="227"/>
      <c r="N2" s="227"/>
      <c r="O2" s="227"/>
    </row>
    <row r="3" spans="1:16" ht="93" customHeight="1">
      <c r="A3" s="354" t="s">
        <v>1291</v>
      </c>
      <c r="B3" s="354"/>
      <c r="C3" s="354"/>
      <c r="D3" s="354"/>
      <c r="E3" s="354"/>
      <c r="F3" s="354"/>
      <c r="G3" s="354"/>
      <c r="H3" s="354"/>
      <c r="I3" s="227"/>
      <c r="J3" s="227"/>
      <c r="K3" s="227"/>
      <c r="L3" s="227"/>
      <c r="M3" s="227"/>
      <c r="N3" s="227"/>
      <c r="O3" s="227"/>
    </row>
    <row r="4" spans="1:16">
      <c r="A4" s="355"/>
      <c r="B4" s="356"/>
      <c r="C4" s="356"/>
      <c r="D4" s="356"/>
      <c r="E4" s="356"/>
      <c r="F4" s="356"/>
      <c r="G4" s="356"/>
      <c r="H4" s="356"/>
      <c r="I4" s="216"/>
      <c r="J4" s="216"/>
      <c r="K4" s="216"/>
      <c r="L4" s="216"/>
      <c r="M4" s="216"/>
      <c r="N4" s="216"/>
      <c r="O4" s="216"/>
    </row>
    <row r="5" spans="1:16" ht="12.75" customHeight="1">
      <c r="A5" s="357" t="s">
        <v>817</v>
      </c>
      <c r="B5" s="358"/>
      <c r="C5" s="358"/>
      <c r="D5" s="358"/>
      <c r="E5" s="358"/>
      <c r="F5" s="358"/>
      <c r="G5" s="358"/>
      <c r="H5" s="358"/>
      <c r="I5" s="217"/>
      <c r="J5" s="217"/>
      <c r="K5" s="217"/>
      <c r="L5" s="217"/>
      <c r="M5" s="217"/>
      <c r="N5" s="217"/>
      <c r="O5" s="217"/>
    </row>
    <row r="6" spans="1:16" ht="15.2" customHeight="1">
      <c r="A6" s="359" t="s">
        <v>41</v>
      </c>
      <c r="B6" s="359" t="s">
        <v>955</v>
      </c>
      <c r="C6" s="359" t="s">
        <v>956</v>
      </c>
      <c r="D6" s="359" t="s">
        <v>818</v>
      </c>
      <c r="E6" s="359" t="s">
        <v>819</v>
      </c>
      <c r="F6" s="359" t="s">
        <v>1024</v>
      </c>
      <c r="G6" s="359" t="s">
        <v>1025</v>
      </c>
      <c r="H6" s="359" t="s">
        <v>1292</v>
      </c>
      <c r="I6" s="218"/>
      <c r="J6" s="214"/>
      <c r="K6" s="214"/>
      <c r="L6" s="214"/>
      <c r="M6" s="214"/>
      <c r="N6" s="214"/>
      <c r="O6" s="214"/>
    </row>
    <row r="7" spans="1:16" ht="35.25" customHeight="1">
      <c r="A7" s="360"/>
      <c r="B7" s="360"/>
      <c r="C7" s="360"/>
      <c r="D7" s="360"/>
      <c r="E7" s="360"/>
      <c r="F7" s="360"/>
      <c r="G7" s="360"/>
      <c r="H7" s="360"/>
      <c r="I7" s="218"/>
      <c r="J7" s="214"/>
      <c r="K7" s="214"/>
      <c r="L7" s="214"/>
      <c r="M7" s="214"/>
      <c r="N7" s="214"/>
      <c r="O7" s="214"/>
    </row>
    <row r="8" spans="1:16" ht="12.75" customHeight="1">
      <c r="A8" s="219">
        <v>1</v>
      </c>
      <c r="B8" s="219">
        <v>2</v>
      </c>
      <c r="C8" s="219">
        <v>3</v>
      </c>
      <c r="D8" s="219">
        <v>4</v>
      </c>
      <c r="E8" s="219">
        <v>5</v>
      </c>
      <c r="F8" s="219">
        <v>6</v>
      </c>
      <c r="G8" s="219">
        <v>7</v>
      </c>
      <c r="H8" s="219">
        <v>8</v>
      </c>
      <c r="I8" s="218"/>
      <c r="J8" s="214"/>
      <c r="K8" s="214"/>
      <c r="L8" s="214"/>
      <c r="M8" s="214"/>
      <c r="N8" s="214"/>
      <c r="O8" s="214"/>
    </row>
    <row r="9" spans="1:16" ht="38.25">
      <c r="A9" s="220" t="s">
        <v>490</v>
      </c>
      <c r="B9" s="221"/>
      <c r="C9" s="221"/>
      <c r="D9" s="220" t="s">
        <v>351</v>
      </c>
      <c r="E9" s="221"/>
      <c r="F9" s="222">
        <v>775638.87034000002</v>
      </c>
      <c r="G9" s="222">
        <v>778461.42590999999</v>
      </c>
      <c r="H9" s="222">
        <v>793062.31391000003</v>
      </c>
      <c r="I9" s="218"/>
      <c r="J9" s="214"/>
      <c r="K9" s="214"/>
      <c r="L9" s="214"/>
      <c r="M9" s="214"/>
      <c r="N9" s="214"/>
      <c r="O9" s="214"/>
      <c r="P9" s="214"/>
    </row>
    <row r="10" spans="1:16" ht="38.25" outlineLevel="1">
      <c r="A10" s="220" t="s">
        <v>608</v>
      </c>
      <c r="B10" s="221"/>
      <c r="C10" s="221"/>
      <c r="D10" s="220" t="s">
        <v>356</v>
      </c>
      <c r="E10" s="221"/>
      <c r="F10" s="222">
        <v>363967.45565000002</v>
      </c>
      <c r="G10" s="222">
        <v>371157.14539999998</v>
      </c>
      <c r="H10" s="222">
        <v>378308.91775000002</v>
      </c>
      <c r="I10" s="218"/>
      <c r="J10" s="214"/>
      <c r="K10" s="214"/>
      <c r="L10" s="214"/>
      <c r="M10" s="214"/>
      <c r="N10" s="214"/>
      <c r="O10" s="214"/>
      <c r="P10" s="214"/>
    </row>
    <row r="11" spans="1:16" ht="25.5" outlineLevel="2">
      <c r="A11" s="220" t="s">
        <v>609</v>
      </c>
      <c r="B11" s="221"/>
      <c r="C11" s="221"/>
      <c r="D11" s="220" t="s">
        <v>357</v>
      </c>
      <c r="E11" s="221"/>
      <c r="F11" s="222">
        <v>363967.45565000002</v>
      </c>
      <c r="G11" s="222">
        <v>371157.14539999998</v>
      </c>
      <c r="H11" s="222">
        <v>378308.91775000002</v>
      </c>
      <c r="I11" s="218"/>
      <c r="J11" s="214"/>
      <c r="K11" s="214"/>
      <c r="L11" s="214"/>
      <c r="M11" s="214"/>
      <c r="N11" s="214"/>
      <c r="O11" s="214"/>
      <c r="P11" s="214"/>
    </row>
    <row r="12" spans="1:16" outlineLevel="3">
      <c r="A12" s="220" t="s">
        <v>610</v>
      </c>
      <c r="B12" s="220" t="s">
        <v>236</v>
      </c>
      <c r="C12" s="220" t="s">
        <v>239</v>
      </c>
      <c r="D12" s="220" t="s">
        <v>357</v>
      </c>
      <c r="E12" s="221"/>
      <c r="F12" s="222">
        <v>363967.45565000002</v>
      </c>
      <c r="G12" s="222">
        <v>371157.14539999998</v>
      </c>
      <c r="H12" s="222">
        <v>378308.91775000002</v>
      </c>
      <c r="I12" s="218"/>
      <c r="J12" s="214"/>
      <c r="K12" s="214"/>
      <c r="L12" s="214"/>
      <c r="M12" s="214"/>
      <c r="N12" s="214"/>
      <c r="O12" s="214"/>
      <c r="P12" s="214"/>
    </row>
    <row r="13" spans="1:16" ht="25.5" outlineLevel="4">
      <c r="A13" s="220" t="s">
        <v>957</v>
      </c>
      <c r="B13" s="220" t="s">
        <v>236</v>
      </c>
      <c r="C13" s="220" t="s">
        <v>239</v>
      </c>
      <c r="D13" s="220" t="s">
        <v>958</v>
      </c>
      <c r="E13" s="221"/>
      <c r="F13" s="222">
        <v>55532.717649999999</v>
      </c>
      <c r="G13" s="222">
        <v>55532.717649999999</v>
      </c>
      <c r="H13" s="222">
        <v>51532.716999999997</v>
      </c>
      <c r="I13" s="218"/>
      <c r="J13" s="214"/>
      <c r="K13" s="214"/>
      <c r="L13" s="214"/>
      <c r="M13" s="214"/>
      <c r="N13" s="214"/>
      <c r="O13" s="214"/>
      <c r="P13" s="214"/>
    </row>
    <row r="14" spans="1:16" ht="38.25" outlineLevel="5">
      <c r="A14" s="220" t="s">
        <v>612</v>
      </c>
      <c r="B14" s="220" t="s">
        <v>236</v>
      </c>
      <c r="C14" s="220" t="s">
        <v>239</v>
      </c>
      <c r="D14" s="220" t="s">
        <v>958</v>
      </c>
      <c r="E14" s="220" t="s">
        <v>315</v>
      </c>
      <c r="F14" s="222">
        <v>55532.717649999999</v>
      </c>
      <c r="G14" s="222">
        <v>55532.717649999999</v>
      </c>
      <c r="H14" s="222">
        <v>51532.716999999997</v>
      </c>
      <c r="I14" s="218"/>
      <c r="J14" s="214"/>
      <c r="K14" s="214"/>
      <c r="L14" s="214"/>
      <c r="M14" s="214"/>
      <c r="N14" s="214"/>
      <c r="O14" s="214"/>
      <c r="P14" s="214"/>
    </row>
    <row r="15" spans="1:16" ht="38.25" outlineLevel="4">
      <c r="A15" s="220" t="s">
        <v>611</v>
      </c>
      <c r="B15" s="220" t="s">
        <v>236</v>
      </c>
      <c r="C15" s="220" t="s">
        <v>239</v>
      </c>
      <c r="D15" s="220" t="s">
        <v>358</v>
      </c>
      <c r="E15" s="221"/>
      <c r="F15" s="222">
        <v>80634.224000000002</v>
      </c>
      <c r="G15" s="222">
        <v>79878.279750000002</v>
      </c>
      <c r="H15" s="222">
        <v>79878.279750000002</v>
      </c>
      <c r="I15" s="218"/>
      <c r="J15" s="214"/>
      <c r="K15" s="214"/>
      <c r="L15" s="214"/>
      <c r="M15" s="214"/>
      <c r="N15" s="214"/>
      <c r="O15" s="214"/>
      <c r="P15" s="214"/>
    </row>
    <row r="16" spans="1:16" ht="38.25" outlineLevel="5">
      <c r="A16" s="220" t="s">
        <v>612</v>
      </c>
      <c r="B16" s="220" t="s">
        <v>236</v>
      </c>
      <c r="C16" s="220" t="s">
        <v>239</v>
      </c>
      <c r="D16" s="220" t="s">
        <v>358</v>
      </c>
      <c r="E16" s="220" t="s">
        <v>315</v>
      </c>
      <c r="F16" s="222">
        <v>80634.224000000002</v>
      </c>
      <c r="G16" s="222">
        <v>79878.279750000002</v>
      </c>
      <c r="H16" s="222">
        <v>79878.279750000002</v>
      </c>
      <c r="I16" s="218"/>
      <c r="J16" s="214"/>
      <c r="K16" s="214"/>
      <c r="L16" s="214"/>
      <c r="M16" s="214"/>
      <c r="N16" s="214"/>
      <c r="O16" s="214"/>
      <c r="P16" s="214"/>
    </row>
    <row r="17" spans="1:16" ht="25.5" outlineLevel="4">
      <c r="A17" s="220" t="s">
        <v>959</v>
      </c>
      <c r="B17" s="220" t="s">
        <v>236</v>
      </c>
      <c r="C17" s="220" t="s">
        <v>239</v>
      </c>
      <c r="D17" s="220" t="s">
        <v>960</v>
      </c>
      <c r="E17" s="221"/>
      <c r="F17" s="222">
        <v>1053.3119999999999</v>
      </c>
      <c r="G17" s="222">
        <v>1053.3119999999999</v>
      </c>
      <c r="H17" s="222">
        <v>1053.3119999999999</v>
      </c>
      <c r="I17" s="218"/>
      <c r="J17" s="214"/>
      <c r="K17" s="214"/>
      <c r="L17" s="214"/>
      <c r="M17" s="214"/>
      <c r="N17" s="214"/>
      <c r="O17" s="214"/>
      <c r="P17" s="214"/>
    </row>
    <row r="18" spans="1:16" ht="38.25" outlineLevel="5">
      <c r="A18" s="220" t="s">
        <v>612</v>
      </c>
      <c r="B18" s="220" t="s">
        <v>236</v>
      </c>
      <c r="C18" s="220" t="s">
        <v>239</v>
      </c>
      <c r="D18" s="220" t="s">
        <v>960</v>
      </c>
      <c r="E18" s="220" t="s">
        <v>315</v>
      </c>
      <c r="F18" s="222">
        <v>1053.3119999999999</v>
      </c>
      <c r="G18" s="222">
        <v>1053.3119999999999</v>
      </c>
      <c r="H18" s="222">
        <v>1053.3119999999999</v>
      </c>
      <c r="I18" s="218"/>
      <c r="J18" s="214"/>
      <c r="K18" s="214"/>
      <c r="L18" s="214"/>
      <c r="M18" s="214"/>
      <c r="N18" s="214"/>
      <c r="O18" s="214"/>
      <c r="P18" s="214"/>
    </row>
    <row r="19" spans="1:16" ht="127.5" outlineLevel="4">
      <c r="A19" s="220" t="s">
        <v>613</v>
      </c>
      <c r="B19" s="220" t="s">
        <v>236</v>
      </c>
      <c r="C19" s="220" t="s">
        <v>239</v>
      </c>
      <c r="D19" s="220" t="s">
        <v>359</v>
      </c>
      <c r="E19" s="221"/>
      <c r="F19" s="222">
        <v>2188.29</v>
      </c>
      <c r="G19" s="222">
        <v>2188.29</v>
      </c>
      <c r="H19" s="222">
        <v>2188.29</v>
      </c>
      <c r="I19" s="218"/>
      <c r="J19" s="214"/>
      <c r="K19" s="214"/>
      <c r="L19" s="214"/>
      <c r="M19" s="214"/>
      <c r="N19" s="214"/>
      <c r="O19" s="214"/>
      <c r="P19" s="214"/>
    </row>
    <row r="20" spans="1:16" ht="38.25" outlineLevel="5">
      <c r="A20" s="220" t="s">
        <v>612</v>
      </c>
      <c r="B20" s="220" t="s">
        <v>236</v>
      </c>
      <c r="C20" s="220" t="s">
        <v>239</v>
      </c>
      <c r="D20" s="220" t="s">
        <v>359</v>
      </c>
      <c r="E20" s="220" t="s">
        <v>315</v>
      </c>
      <c r="F20" s="222">
        <v>2188.29</v>
      </c>
      <c r="G20" s="222">
        <v>2188.29</v>
      </c>
      <c r="H20" s="222">
        <v>2188.29</v>
      </c>
      <c r="I20" s="218"/>
      <c r="J20" s="214"/>
      <c r="K20" s="214"/>
      <c r="L20" s="214"/>
      <c r="M20" s="214"/>
      <c r="N20" s="214"/>
      <c r="O20" s="214"/>
      <c r="P20" s="214"/>
    </row>
    <row r="21" spans="1:16" ht="165.75" outlineLevel="4">
      <c r="A21" s="220" t="s">
        <v>986</v>
      </c>
      <c r="B21" s="220" t="s">
        <v>236</v>
      </c>
      <c r="C21" s="220" t="s">
        <v>239</v>
      </c>
      <c r="D21" s="220" t="s">
        <v>360</v>
      </c>
      <c r="E21" s="221"/>
      <c r="F21" s="222">
        <v>224558.91200000001</v>
      </c>
      <c r="G21" s="222">
        <v>232504.546</v>
      </c>
      <c r="H21" s="222">
        <v>243656.31899999999</v>
      </c>
      <c r="I21" s="218"/>
      <c r="J21" s="214"/>
      <c r="K21" s="214"/>
      <c r="L21" s="214"/>
      <c r="M21" s="214"/>
      <c r="N21" s="214"/>
      <c r="O21" s="214"/>
      <c r="P21" s="214"/>
    </row>
    <row r="22" spans="1:16" ht="38.25" outlineLevel="5">
      <c r="A22" s="220" t="s">
        <v>612</v>
      </c>
      <c r="B22" s="220" t="s">
        <v>236</v>
      </c>
      <c r="C22" s="220" t="s">
        <v>239</v>
      </c>
      <c r="D22" s="220" t="s">
        <v>360</v>
      </c>
      <c r="E22" s="220" t="s">
        <v>315</v>
      </c>
      <c r="F22" s="222">
        <v>224558.91200000001</v>
      </c>
      <c r="G22" s="222">
        <v>232504.546</v>
      </c>
      <c r="H22" s="222">
        <v>243656.31899999999</v>
      </c>
      <c r="I22" s="218"/>
      <c r="J22" s="214"/>
      <c r="K22" s="214"/>
      <c r="L22" s="214"/>
      <c r="M22" s="214"/>
      <c r="N22" s="214"/>
      <c r="O22" s="214"/>
      <c r="P22" s="214"/>
    </row>
    <row r="23" spans="1:16" ht="38.25" outlineLevel="1">
      <c r="A23" s="220" t="s">
        <v>618</v>
      </c>
      <c r="B23" s="221"/>
      <c r="C23" s="221"/>
      <c r="D23" s="220" t="s">
        <v>471</v>
      </c>
      <c r="E23" s="221"/>
      <c r="F23" s="222">
        <v>280349.76543999999</v>
      </c>
      <c r="G23" s="222">
        <v>287508.647</v>
      </c>
      <c r="H23" s="222">
        <v>294957.76199999999</v>
      </c>
      <c r="I23" s="218"/>
      <c r="J23" s="214"/>
      <c r="K23" s="214"/>
      <c r="L23" s="214"/>
      <c r="M23" s="214"/>
      <c r="N23" s="214"/>
      <c r="O23" s="214"/>
      <c r="P23" s="214"/>
    </row>
    <row r="24" spans="1:16" ht="38.25" outlineLevel="2">
      <c r="A24" s="220" t="s">
        <v>619</v>
      </c>
      <c r="B24" s="221"/>
      <c r="C24" s="221"/>
      <c r="D24" s="220" t="s">
        <v>352</v>
      </c>
      <c r="E24" s="221"/>
      <c r="F24" s="222">
        <v>280349.76543999999</v>
      </c>
      <c r="G24" s="222">
        <v>287508.647</v>
      </c>
      <c r="H24" s="222">
        <v>294957.76199999999</v>
      </c>
      <c r="I24" s="218"/>
      <c r="J24" s="214"/>
      <c r="K24" s="214"/>
      <c r="L24" s="214"/>
      <c r="M24" s="214"/>
      <c r="N24" s="214"/>
      <c r="O24" s="214"/>
      <c r="P24" s="214"/>
    </row>
    <row r="25" spans="1:16" outlineLevel="3">
      <c r="A25" s="220" t="s">
        <v>620</v>
      </c>
      <c r="B25" s="220" t="s">
        <v>236</v>
      </c>
      <c r="C25" s="220" t="s">
        <v>237</v>
      </c>
      <c r="D25" s="220" t="s">
        <v>352</v>
      </c>
      <c r="E25" s="221"/>
      <c r="F25" s="222">
        <v>280349.76543999999</v>
      </c>
      <c r="G25" s="222">
        <v>287508.647</v>
      </c>
      <c r="H25" s="222">
        <v>294957.76199999999</v>
      </c>
      <c r="I25" s="218"/>
      <c r="J25" s="214"/>
      <c r="K25" s="214"/>
      <c r="L25" s="214"/>
      <c r="M25" s="214"/>
      <c r="N25" s="214"/>
      <c r="O25" s="214"/>
      <c r="P25" s="214"/>
    </row>
    <row r="26" spans="1:16" ht="25.5" outlineLevel="4">
      <c r="A26" s="220" t="s">
        <v>957</v>
      </c>
      <c r="B26" s="220" t="s">
        <v>236</v>
      </c>
      <c r="C26" s="220" t="s">
        <v>237</v>
      </c>
      <c r="D26" s="220" t="s">
        <v>961</v>
      </c>
      <c r="E26" s="221"/>
      <c r="F26" s="222">
        <v>56431.614999999998</v>
      </c>
      <c r="G26" s="222">
        <v>56431.614999999998</v>
      </c>
      <c r="H26" s="222">
        <v>53431.614999999998</v>
      </c>
      <c r="I26" s="218"/>
      <c r="J26" s="214"/>
      <c r="K26" s="214"/>
      <c r="L26" s="214"/>
      <c r="M26" s="214"/>
      <c r="N26" s="214"/>
      <c r="O26" s="214"/>
      <c r="P26" s="214"/>
    </row>
    <row r="27" spans="1:16" ht="38.25" outlineLevel="5">
      <c r="A27" s="220" t="s">
        <v>612</v>
      </c>
      <c r="B27" s="220" t="s">
        <v>236</v>
      </c>
      <c r="C27" s="220" t="s">
        <v>237</v>
      </c>
      <c r="D27" s="220" t="s">
        <v>961</v>
      </c>
      <c r="E27" s="220" t="s">
        <v>315</v>
      </c>
      <c r="F27" s="222">
        <v>56431.614999999998</v>
      </c>
      <c r="G27" s="222">
        <v>56431.614999999998</v>
      </c>
      <c r="H27" s="222">
        <v>53431.614999999998</v>
      </c>
      <c r="I27" s="218"/>
      <c r="J27" s="214"/>
      <c r="K27" s="214"/>
      <c r="L27" s="214"/>
      <c r="M27" s="214"/>
      <c r="N27" s="214"/>
      <c r="O27" s="214"/>
      <c r="P27" s="214"/>
    </row>
    <row r="28" spans="1:16" ht="51" outlineLevel="4">
      <c r="A28" s="220" t="s">
        <v>622</v>
      </c>
      <c r="B28" s="220" t="s">
        <v>236</v>
      </c>
      <c r="C28" s="220" t="s">
        <v>237</v>
      </c>
      <c r="D28" s="220" t="s">
        <v>353</v>
      </c>
      <c r="E28" s="221"/>
      <c r="F28" s="222">
        <v>13752.07344</v>
      </c>
      <c r="G28" s="222">
        <v>13992.300999999999</v>
      </c>
      <c r="H28" s="222">
        <v>13992.300999999999</v>
      </c>
      <c r="I28" s="218"/>
      <c r="J28" s="214"/>
      <c r="K28" s="214"/>
      <c r="L28" s="214"/>
      <c r="M28" s="214"/>
      <c r="N28" s="214"/>
      <c r="O28" s="214"/>
      <c r="P28" s="214"/>
    </row>
    <row r="29" spans="1:16" ht="38.25" outlineLevel="5">
      <c r="A29" s="220" t="s">
        <v>612</v>
      </c>
      <c r="B29" s="220" t="s">
        <v>236</v>
      </c>
      <c r="C29" s="220" t="s">
        <v>237</v>
      </c>
      <c r="D29" s="220" t="s">
        <v>353</v>
      </c>
      <c r="E29" s="220" t="s">
        <v>315</v>
      </c>
      <c r="F29" s="222">
        <v>13752.07344</v>
      </c>
      <c r="G29" s="222">
        <v>13992.300999999999</v>
      </c>
      <c r="H29" s="222">
        <v>13992.300999999999</v>
      </c>
      <c r="I29" s="218"/>
      <c r="J29" s="214"/>
      <c r="K29" s="214"/>
      <c r="L29" s="214"/>
      <c r="M29" s="214"/>
      <c r="N29" s="214"/>
      <c r="O29" s="214"/>
      <c r="P29" s="214"/>
    </row>
    <row r="30" spans="1:16" ht="165.75" outlineLevel="4">
      <c r="A30" s="220" t="s">
        <v>987</v>
      </c>
      <c r="B30" s="220" t="s">
        <v>236</v>
      </c>
      <c r="C30" s="220" t="s">
        <v>237</v>
      </c>
      <c r="D30" s="220" t="s">
        <v>354</v>
      </c>
      <c r="E30" s="221"/>
      <c r="F30" s="222">
        <v>207851.45</v>
      </c>
      <c r="G30" s="222">
        <v>214694.446</v>
      </c>
      <c r="H30" s="222">
        <v>225028.48499999999</v>
      </c>
      <c r="I30" s="218"/>
      <c r="J30" s="214"/>
      <c r="K30" s="214"/>
      <c r="L30" s="214"/>
      <c r="M30" s="214"/>
      <c r="N30" s="214"/>
      <c r="O30" s="214"/>
      <c r="P30" s="214"/>
    </row>
    <row r="31" spans="1:16" ht="38.25" outlineLevel="5">
      <c r="A31" s="220" t="s">
        <v>612</v>
      </c>
      <c r="B31" s="220" t="s">
        <v>236</v>
      </c>
      <c r="C31" s="220" t="s">
        <v>237</v>
      </c>
      <c r="D31" s="220" t="s">
        <v>354</v>
      </c>
      <c r="E31" s="220" t="s">
        <v>315</v>
      </c>
      <c r="F31" s="222">
        <v>207851.45</v>
      </c>
      <c r="G31" s="222">
        <v>214694.446</v>
      </c>
      <c r="H31" s="222">
        <v>225028.48499999999</v>
      </c>
      <c r="I31" s="218"/>
      <c r="J31" s="214"/>
      <c r="K31" s="214"/>
      <c r="L31" s="214"/>
      <c r="M31" s="214"/>
      <c r="N31" s="214"/>
      <c r="O31" s="214"/>
      <c r="P31" s="214"/>
    </row>
    <row r="32" spans="1:16" ht="165.75" outlineLevel="4">
      <c r="A32" s="220" t="s">
        <v>624</v>
      </c>
      <c r="B32" s="220" t="s">
        <v>236</v>
      </c>
      <c r="C32" s="220" t="s">
        <v>237</v>
      </c>
      <c r="D32" s="220" t="s">
        <v>355</v>
      </c>
      <c r="E32" s="221"/>
      <c r="F32" s="222">
        <v>2314.627</v>
      </c>
      <c r="G32" s="222">
        <v>2390.2849999999999</v>
      </c>
      <c r="H32" s="222">
        <v>2505.3609999999999</v>
      </c>
      <c r="I32" s="218"/>
      <c r="J32" s="214"/>
      <c r="K32" s="214"/>
      <c r="L32" s="214"/>
      <c r="M32" s="214"/>
      <c r="N32" s="214"/>
      <c r="O32" s="214"/>
      <c r="P32" s="214"/>
    </row>
    <row r="33" spans="1:16" ht="38.25" outlineLevel="5">
      <c r="A33" s="220" t="s">
        <v>612</v>
      </c>
      <c r="B33" s="220" t="s">
        <v>236</v>
      </c>
      <c r="C33" s="220" t="s">
        <v>237</v>
      </c>
      <c r="D33" s="220" t="s">
        <v>355</v>
      </c>
      <c r="E33" s="220" t="s">
        <v>315</v>
      </c>
      <c r="F33" s="222">
        <v>2298.5250000000001</v>
      </c>
      <c r="G33" s="222">
        <v>2390.2849999999999</v>
      </c>
      <c r="H33" s="222">
        <v>2505.3609999999999</v>
      </c>
      <c r="I33" s="218"/>
      <c r="J33" s="214"/>
      <c r="K33" s="214"/>
      <c r="L33" s="214"/>
      <c r="M33" s="214"/>
      <c r="N33" s="214"/>
      <c r="O33" s="214"/>
      <c r="P33" s="214"/>
    </row>
    <row r="34" spans="1:16" outlineLevel="5">
      <c r="A34" s="220" t="s">
        <v>623</v>
      </c>
      <c r="B34" s="220" t="s">
        <v>236</v>
      </c>
      <c r="C34" s="220" t="s">
        <v>237</v>
      </c>
      <c r="D34" s="220" t="s">
        <v>355</v>
      </c>
      <c r="E34" s="220" t="s">
        <v>314</v>
      </c>
      <c r="F34" s="222">
        <v>16.102</v>
      </c>
      <c r="G34" s="222">
        <v>0</v>
      </c>
      <c r="H34" s="222">
        <v>0</v>
      </c>
      <c r="I34" s="218"/>
      <c r="J34" s="214"/>
      <c r="K34" s="214"/>
      <c r="L34" s="214"/>
      <c r="M34" s="214"/>
      <c r="N34" s="214"/>
      <c r="O34" s="214"/>
      <c r="P34" s="214"/>
    </row>
    <row r="35" spans="1:16" ht="38.25" outlineLevel="1">
      <c r="A35" s="220" t="s">
        <v>626</v>
      </c>
      <c r="B35" s="221"/>
      <c r="C35" s="221"/>
      <c r="D35" s="220" t="s">
        <v>361</v>
      </c>
      <c r="E35" s="221"/>
      <c r="F35" s="222">
        <v>97978.231010000003</v>
      </c>
      <c r="G35" s="222">
        <v>88104.987850000005</v>
      </c>
      <c r="H35" s="222">
        <v>88104.987850000005</v>
      </c>
      <c r="I35" s="218"/>
      <c r="J35" s="214"/>
      <c r="K35" s="214"/>
      <c r="L35" s="214"/>
      <c r="M35" s="214"/>
      <c r="N35" s="214"/>
      <c r="O35" s="214"/>
      <c r="P35" s="214"/>
    </row>
    <row r="36" spans="1:16" ht="51" outlineLevel="2">
      <c r="A36" s="220" t="s">
        <v>1070</v>
      </c>
      <c r="B36" s="221"/>
      <c r="C36" s="221"/>
      <c r="D36" s="220" t="s">
        <v>362</v>
      </c>
      <c r="E36" s="221"/>
      <c r="F36" s="222">
        <v>87697.626560000004</v>
      </c>
      <c r="G36" s="222">
        <v>88104.987850000005</v>
      </c>
      <c r="H36" s="222">
        <v>88104.987850000005</v>
      </c>
      <c r="I36" s="218"/>
      <c r="J36" s="214"/>
      <c r="K36" s="214"/>
      <c r="L36" s="214"/>
      <c r="M36" s="214"/>
      <c r="N36" s="214"/>
      <c r="O36" s="214"/>
      <c r="P36" s="214"/>
    </row>
    <row r="37" spans="1:16" outlineLevel="3">
      <c r="A37" s="220" t="s">
        <v>627</v>
      </c>
      <c r="B37" s="220" t="s">
        <v>236</v>
      </c>
      <c r="C37" s="220" t="s">
        <v>241</v>
      </c>
      <c r="D37" s="220" t="s">
        <v>362</v>
      </c>
      <c r="E37" s="221"/>
      <c r="F37" s="222">
        <v>87697.626560000004</v>
      </c>
      <c r="G37" s="222">
        <v>88104.987850000005</v>
      </c>
      <c r="H37" s="222">
        <v>88104.987850000005</v>
      </c>
      <c r="I37" s="218"/>
      <c r="J37" s="214"/>
      <c r="K37" s="214"/>
      <c r="L37" s="214"/>
      <c r="M37" s="214"/>
      <c r="N37" s="214"/>
      <c r="O37" s="214"/>
      <c r="P37" s="214"/>
    </row>
    <row r="38" spans="1:16" ht="25.5" outlineLevel="4">
      <c r="A38" s="220" t="s">
        <v>957</v>
      </c>
      <c r="B38" s="220" t="s">
        <v>236</v>
      </c>
      <c r="C38" s="220" t="s">
        <v>241</v>
      </c>
      <c r="D38" s="220" t="s">
        <v>962</v>
      </c>
      <c r="E38" s="221"/>
      <c r="F38" s="222">
        <v>9133.232</v>
      </c>
      <c r="G38" s="222">
        <v>9133.232</v>
      </c>
      <c r="H38" s="222">
        <v>9133.232</v>
      </c>
      <c r="I38" s="218"/>
      <c r="J38" s="214"/>
      <c r="K38" s="214"/>
      <c r="L38" s="214"/>
      <c r="M38" s="214"/>
      <c r="N38" s="214"/>
      <c r="O38" s="214"/>
      <c r="P38" s="214"/>
    </row>
    <row r="39" spans="1:16" ht="38.25" outlineLevel="5">
      <c r="A39" s="220" t="s">
        <v>612</v>
      </c>
      <c r="B39" s="220" t="s">
        <v>236</v>
      </c>
      <c r="C39" s="220" t="s">
        <v>241</v>
      </c>
      <c r="D39" s="220" t="s">
        <v>962</v>
      </c>
      <c r="E39" s="220" t="s">
        <v>315</v>
      </c>
      <c r="F39" s="222">
        <v>9133.232</v>
      </c>
      <c r="G39" s="222">
        <v>9133.232</v>
      </c>
      <c r="H39" s="222">
        <v>9133.232</v>
      </c>
      <c r="I39" s="218"/>
      <c r="J39" s="214"/>
      <c r="K39" s="214"/>
      <c r="L39" s="214"/>
      <c r="M39" s="214"/>
      <c r="N39" s="214"/>
      <c r="O39" s="214"/>
      <c r="P39" s="214"/>
    </row>
    <row r="40" spans="1:16" ht="51" outlineLevel="4">
      <c r="A40" s="220" t="s">
        <v>628</v>
      </c>
      <c r="B40" s="220" t="s">
        <v>236</v>
      </c>
      <c r="C40" s="220" t="s">
        <v>241</v>
      </c>
      <c r="D40" s="220" t="s">
        <v>363</v>
      </c>
      <c r="E40" s="221"/>
      <c r="F40" s="222">
        <v>17319.501560000001</v>
      </c>
      <c r="G40" s="222">
        <v>15383.896849999999</v>
      </c>
      <c r="H40" s="222">
        <v>15383.896849999999</v>
      </c>
      <c r="I40" s="218"/>
      <c r="J40" s="214"/>
      <c r="K40" s="214"/>
      <c r="L40" s="214"/>
      <c r="M40" s="214"/>
      <c r="N40" s="214"/>
      <c r="O40" s="214"/>
      <c r="P40" s="214"/>
    </row>
    <row r="41" spans="1:16" ht="38.25" outlineLevel="5">
      <c r="A41" s="220" t="s">
        <v>612</v>
      </c>
      <c r="B41" s="220" t="s">
        <v>236</v>
      </c>
      <c r="C41" s="220" t="s">
        <v>241</v>
      </c>
      <c r="D41" s="220" t="s">
        <v>363</v>
      </c>
      <c r="E41" s="220" t="s">
        <v>315</v>
      </c>
      <c r="F41" s="222">
        <v>17319.501560000001</v>
      </c>
      <c r="G41" s="222">
        <v>15383.896849999999</v>
      </c>
      <c r="H41" s="222">
        <v>15383.896849999999</v>
      </c>
      <c r="I41" s="218"/>
      <c r="J41" s="214"/>
      <c r="K41" s="214"/>
      <c r="L41" s="214"/>
      <c r="M41" s="214"/>
      <c r="N41" s="214"/>
      <c r="O41" s="214"/>
      <c r="P41" s="214"/>
    </row>
    <row r="42" spans="1:16" ht="51" outlineLevel="4">
      <c r="A42" s="220" t="s">
        <v>629</v>
      </c>
      <c r="B42" s="220" t="s">
        <v>236</v>
      </c>
      <c r="C42" s="220" t="s">
        <v>241</v>
      </c>
      <c r="D42" s="220" t="s">
        <v>1071</v>
      </c>
      <c r="E42" s="221"/>
      <c r="F42" s="222">
        <v>33181.151400000002</v>
      </c>
      <c r="G42" s="222">
        <v>32917.432000000001</v>
      </c>
      <c r="H42" s="222">
        <v>32917.432000000001</v>
      </c>
      <c r="I42" s="218"/>
      <c r="J42" s="214"/>
      <c r="K42" s="214"/>
      <c r="L42" s="214"/>
      <c r="M42" s="214"/>
      <c r="N42" s="214"/>
      <c r="O42" s="214"/>
      <c r="P42" s="214"/>
    </row>
    <row r="43" spans="1:16" ht="38.25" outlineLevel="5">
      <c r="A43" s="220" t="s">
        <v>612</v>
      </c>
      <c r="B43" s="220" t="s">
        <v>236</v>
      </c>
      <c r="C43" s="220" t="s">
        <v>241</v>
      </c>
      <c r="D43" s="220" t="s">
        <v>1071</v>
      </c>
      <c r="E43" s="220" t="s">
        <v>315</v>
      </c>
      <c r="F43" s="222">
        <v>33181.151400000002</v>
      </c>
      <c r="G43" s="222">
        <v>32917.432000000001</v>
      </c>
      <c r="H43" s="222">
        <v>32917.432000000001</v>
      </c>
      <c r="I43" s="218"/>
      <c r="J43" s="214"/>
      <c r="K43" s="214"/>
      <c r="L43" s="214"/>
      <c r="M43" s="214"/>
      <c r="N43" s="214"/>
      <c r="O43" s="214"/>
      <c r="P43" s="214"/>
    </row>
    <row r="44" spans="1:16" ht="51" outlineLevel="4">
      <c r="A44" s="220" t="s">
        <v>630</v>
      </c>
      <c r="B44" s="220" t="s">
        <v>236</v>
      </c>
      <c r="C44" s="220" t="s">
        <v>241</v>
      </c>
      <c r="D44" s="220" t="s">
        <v>1072</v>
      </c>
      <c r="E44" s="221"/>
      <c r="F44" s="222">
        <v>27745.741600000001</v>
      </c>
      <c r="G44" s="222">
        <v>30670.427</v>
      </c>
      <c r="H44" s="222">
        <v>30670.427</v>
      </c>
      <c r="I44" s="218"/>
      <c r="J44" s="214"/>
      <c r="K44" s="214"/>
      <c r="L44" s="214"/>
      <c r="M44" s="214"/>
      <c r="N44" s="214"/>
      <c r="O44" s="214"/>
      <c r="P44" s="214"/>
    </row>
    <row r="45" spans="1:16" ht="38.25" outlineLevel="5">
      <c r="A45" s="220" t="s">
        <v>612</v>
      </c>
      <c r="B45" s="220" t="s">
        <v>236</v>
      </c>
      <c r="C45" s="220" t="s">
        <v>241</v>
      </c>
      <c r="D45" s="220" t="s">
        <v>1072</v>
      </c>
      <c r="E45" s="220" t="s">
        <v>315</v>
      </c>
      <c r="F45" s="222">
        <v>27745.741600000001</v>
      </c>
      <c r="G45" s="222">
        <v>30670.427</v>
      </c>
      <c r="H45" s="222">
        <v>30670.427</v>
      </c>
      <c r="I45" s="218"/>
      <c r="J45" s="214"/>
      <c r="K45" s="214"/>
      <c r="L45" s="214"/>
      <c r="M45" s="214"/>
      <c r="N45" s="214"/>
      <c r="O45" s="214"/>
      <c r="P45" s="214"/>
    </row>
    <row r="46" spans="1:16" ht="25.5" outlineLevel="4">
      <c r="A46" s="220" t="s">
        <v>1341</v>
      </c>
      <c r="B46" s="220" t="s">
        <v>236</v>
      </c>
      <c r="C46" s="220" t="s">
        <v>241</v>
      </c>
      <c r="D46" s="220" t="s">
        <v>1342</v>
      </c>
      <c r="E46" s="221"/>
      <c r="F46" s="222">
        <v>318</v>
      </c>
      <c r="G46" s="222">
        <v>0</v>
      </c>
      <c r="H46" s="222">
        <v>0</v>
      </c>
      <c r="I46" s="218"/>
      <c r="J46" s="214"/>
      <c r="K46" s="214"/>
      <c r="L46" s="214"/>
      <c r="M46" s="214"/>
      <c r="N46" s="214"/>
      <c r="O46" s="214"/>
      <c r="P46" s="214"/>
    </row>
    <row r="47" spans="1:16" ht="38.25" outlineLevel="5">
      <c r="A47" s="220" t="s">
        <v>612</v>
      </c>
      <c r="B47" s="220" t="s">
        <v>236</v>
      </c>
      <c r="C47" s="220" t="s">
        <v>241</v>
      </c>
      <c r="D47" s="220" t="s">
        <v>1342</v>
      </c>
      <c r="E47" s="220" t="s">
        <v>315</v>
      </c>
      <c r="F47" s="222">
        <v>318</v>
      </c>
      <c r="G47" s="222">
        <v>0</v>
      </c>
      <c r="H47" s="222">
        <v>0</v>
      </c>
      <c r="I47" s="218"/>
      <c r="J47" s="214"/>
      <c r="K47" s="214"/>
      <c r="L47" s="214"/>
      <c r="M47" s="214"/>
      <c r="N47" s="214"/>
      <c r="O47" s="214"/>
      <c r="P47" s="214"/>
    </row>
    <row r="48" spans="1:16" ht="63.75" outlineLevel="2">
      <c r="A48" s="220" t="s">
        <v>1073</v>
      </c>
      <c r="B48" s="221"/>
      <c r="C48" s="221"/>
      <c r="D48" s="220" t="s">
        <v>364</v>
      </c>
      <c r="E48" s="221"/>
      <c r="F48" s="222">
        <v>10280.604450000001</v>
      </c>
      <c r="G48" s="222">
        <v>0</v>
      </c>
      <c r="H48" s="222">
        <v>0</v>
      </c>
      <c r="I48" s="218"/>
      <c r="J48" s="214"/>
      <c r="K48" s="214"/>
      <c r="L48" s="214"/>
      <c r="M48" s="214"/>
      <c r="N48" s="214"/>
      <c r="O48" s="214"/>
      <c r="P48" s="214"/>
    </row>
    <row r="49" spans="1:16" outlineLevel="3">
      <c r="A49" s="220" t="s">
        <v>627</v>
      </c>
      <c r="B49" s="220" t="s">
        <v>236</v>
      </c>
      <c r="C49" s="220" t="s">
        <v>241</v>
      </c>
      <c r="D49" s="220" t="s">
        <v>364</v>
      </c>
      <c r="E49" s="221"/>
      <c r="F49" s="222">
        <v>10280.604450000001</v>
      </c>
      <c r="G49" s="222">
        <v>0</v>
      </c>
      <c r="H49" s="222">
        <v>0</v>
      </c>
      <c r="I49" s="218"/>
      <c r="J49" s="214"/>
      <c r="K49" s="214"/>
      <c r="L49" s="214"/>
      <c r="M49" s="214"/>
      <c r="N49" s="214"/>
      <c r="O49" s="214"/>
      <c r="P49" s="214"/>
    </row>
    <row r="50" spans="1:16" ht="76.5" outlineLevel="4">
      <c r="A50" s="220" t="s">
        <v>1074</v>
      </c>
      <c r="B50" s="220" t="s">
        <v>236</v>
      </c>
      <c r="C50" s="220" t="s">
        <v>241</v>
      </c>
      <c r="D50" s="220" t="s">
        <v>1075</v>
      </c>
      <c r="E50" s="221"/>
      <c r="F50" s="222">
        <v>631.57645000000002</v>
      </c>
      <c r="G50" s="222">
        <v>0</v>
      </c>
      <c r="H50" s="222">
        <v>0</v>
      </c>
      <c r="I50" s="218"/>
      <c r="J50" s="214"/>
      <c r="K50" s="214"/>
      <c r="L50" s="214"/>
      <c r="M50" s="214"/>
      <c r="N50" s="214"/>
      <c r="O50" s="214"/>
      <c r="P50" s="214"/>
    </row>
    <row r="51" spans="1:16" ht="38.25" outlineLevel="5">
      <c r="A51" s="220" t="s">
        <v>612</v>
      </c>
      <c r="B51" s="220" t="s">
        <v>236</v>
      </c>
      <c r="C51" s="220" t="s">
        <v>241</v>
      </c>
      <c r="D51" s="220" t="s">
        <v>1075</v>
      </c>
      <c r="E51" s="220" t="s">
        <v>315</v>
      </c>
      <c r="F51" s="222">
        <v>631.57645000000002</v>
      </c>
      <c r="G51" s="222">
        <v>0</v>
      </c>
      <c r="H51" s="222">
        <v>0</v>
      </c>
      <c r="I51" s="218"/>
      <c r="J51" s="214"/>
      <c r="K51" s="214"/>
      <c r="L51" s="214"/>
      <c r="M51" s="214"/>
      <c r="N51" s="214"/>
      <c r="O51" s="214"/>
      <c r="P51" s="214"/>
    </row>
    <row r="52" spans="1:16" ht="89.25" outlineLevel="4">
      <c r="A52" s="220" t="s">
        <v>796</v>
      </c>
      <c r="B52" s="220" t="s">
        <v>236</v>
      </c>
      <c r="C52" s="220" t="s">
        <v>241</v>
      </c>
      <c r="D52" s="220" t="s">
        <v>1076</v>
      </c>
      <c r="E52" s="221"/>
      <c r="F52" s="222">
        <v>6472.8159999999998</v>
      </c>
      <c r="G52" s="222">
        <v>0</v>
      </c>
      <c r="H52" s="222">
        <v>0</v>
      </c>
      <c r="I52" s="218"/>
      <c r="J52" s="214"/>
      <c r="K52" s="214"/>
      <c r="L52" s="214"/>
      <c r="M52" s="214"/>
      <c r="N52" s="214"/>
      <c r="O52" s="214"/>
      <c r="P52" s="214"/>
    </row>
    <row r="53" spans="1:16" ht="38.25" outlineLevel="5">
      <c r="A53" s="220" t="s">
        <v>612</v>
      </c>
      <c r="B53" s="220" t="s">
        <v>236</v>
      </c>
      <c r="C53" s="220" t="s">
        <v>241</v>
      </c>
      <c r="D53" s="220" t="s">
        <v>1076</v>
      </c>
      <c r="E53" s="220" t="s">
        <v>315</v>
      </c>
      <c r="F53" s="222">
        <v>6472.8159999999998</v>
      </c>
      <c r="G53" s="222">
        <v>0</v>
      </c>
      <c r="H53" s="222">
        <v>0</v>
      </c>
      <c r="I53" s="218"/>
      <c r="J53" s="214"/>
      <c r="K53" s="214"/>
      <c r="L53" s="214"/>
      <c r="M53" s="214"/>
      <c r="N53" s="214"/>
      <c r="O53" s="214"/>
      <c r="P53" s="214"/>
    </row>
    <row r="54" spans="1:16" ht="76.5" outlineLevel="4">
      <c r="A54" s="220" t="s">
        <v>938</v>
      </c>
      <c r="B54" s="220" t="s">
        <v>236</v>
      </c>
      <c r="C54" s="220" t="s">
        <v>241</v>
      </c>
      <c r="D54" s="220" t="s">
        <v>1077</v>
      </c>
      <c r="E54" s="221"/>
      <c r="F54" s="222">
        <v>3176.212</v>
      </c>
      <c r="G54" s="222">
        <v>0</v>
      </c>
      <c r="H54" s="222">
        <v>0</v>
      </c>
      <c r="I54" s="218"/>
      <c r="J54" s="214"/>
      <c r="K54" s="214"/>
      <c r="L54" s="214"/>
      <c r="M54" s="214"/>
      <c r="N54" s="214"/>
      <c r="O54" s="214"/>
      <c r="P54" s="214"/>
    </row>
    <row r="55" spans="1:16" ht="38.25" outlineLevel="5">
      <c r="A55" s="220" t="s">
        <v>612</v>
      </c>
      <c r="B55" s="220" t="s">
        <v>236</v>
      </c>
      <c r="C55" s="220" t="s">
        <v>241</v>
      </c>
      <c r="D55" s="220" t="s">
        <v>1077</v>
      </c>
      <c r="E55" s="220" t="s">
        <v>315</v>
      </c>
      <c r="F55" s="222">
        <v>3176.212</v>
      </c>
      <c r="G55" s="222">
        <v>0</v>
      </c>
      <c r="H55" s="222">
        <v>0</v>
      </c>
      <c r="I55" s="218"/>
      <c r="J55" s="214"/>
      <c r="K55" s="214"/>
      <c r="L55" s="214"/>
      <c r="M55" s="214"/>
      <c r="N55" s="214"/>
      <c r="O55" s="214"/>
      <c r="P55" s="214"/>
    </row>
    <row r="56" spans="1:16" ht="51" outlineLevel="1">
      <c r="A56" s="220" t="s">
        <v>1078</v>
      </c>
      <c r="B56" s="221"/>
      <c r="C56" s="221"/>
      <c r="D56" s="220" t="s">
        <v>365</v>
      </c>
      <c r="E56" s="221"/>
      <c r="F56" s="222">
        <v>22934.769</v>
      </c>
      <c r="G56" s="222">
        <v>22740.934519999999</v>
      </c>
      <c r="H56" s="222">
        <v>22740.934519999999</v>
      </c>
      <c r="I56" s="218"/>
      <c r="J56" s="214"/>
      <c r="K56" s="214"/>
      <c r="L56" s="214"/>
      <c r="M56" s="214"/>
      <c r="N56" s="214"/>
      <c r="O56" s="214"/>
      <c r="P56" s="214"/>
    </row>
    <row r="57" spans="1:16" ht="25.5" outlineLevel="2">
      <c r="A57" s="220" t="s">
        <v>632</v>
      </c>
      <c r="B57" s="221"/>
      <c r="C57" s="221"/>
      <c r="D57" s="220" t="s">
        <v>366</v>
      </c>
      <c r="E57" s="221"/>
      <c r="F57" s="222">
        <v>17216.242999999999</v>
      </c>
      <c r="G57" s="222">
        <v>17211.14863</v>
      </c>
      <c r="H57" s="222">
        <v>17211.14863</v>
      </c>
      <c r="I57" s="218"/>
      <c r="J57" s="214"/>
      <c r="K57" s="214"/>
      <c r="L57" s="214"/>
      <c r="M57" s="214"/>
      <c r="N57" s="214"/>
      <c r="O57" s="214"/>
      <c r="P57" s="214"/>
    </row>
    <row r="58" spans="1:16" outlineLevel="3">
      <c r="A58" s="220" t="s">
        <v>633</v>
      </c>
      <c r="B58" s="220" t="s">
        <v>236</v>
      </c>
      <c r="C58" s="220" t="s">
        <v>240</v>
      </c>
      <c r="D58" s="220" t="s">
        <v>366</v>
      </c>
      <c r="E58" s="221"/>
      <c r="F58" s="222">
        <v>17216.242999999999</v>
      </c>
      <c r="G58" s="222">
        <v>17211.14863</v>
      </c>
      <c r="H58" s="222">
        <v>17211.14863</v>
      </c>
      <c r="I58" s="218"/>
      <c r="J58" s="214"/>
      <c r="K58" s="214"/>
      <c r="L58" s="214"/>
      <c r="M58" s="214"/>
      <c r="N58" s="214"/>
      <c r="O58" s="214"/>
      <c r="P58" s="214"/>
    </row>
    <row r="59" spans="1:16" ht="38.25" outlineLevel="4">
      <c r="A59" s="220" t="s">
        <v>634</v>
      </c>
      <c r="B59" s="220" t="s">
        <v>236</v>
      </c>
      <c r="C59" s="220" t="s">
        <v>240</v>
      </c>
      <c r="D59" s="220" t="s">
        <v>367</v>
      </c>
      <c r="E59" s="221"/>
      <c r="F59" s="222">
        <v>14072.388999999999</v>
      </c>
      <c r="G59" s="222">
        <v>14091.973</v>
      </c>
      <c r="H59" s="222">
        <v>14091.973</v>
      </c>
      <c r="I59" s="218"/>
      <c r="J59" s="214"/>
      <c r="K59" s="214"/>
      <c r="L59" s="214"/>
      <c r="M59" s="214"/>
      <c r="N59" s="214"/>
      <c r="O59" s="214"/>
      <c r="P59" s="214"/>
    </row>
    <row r="60" spans="1:16" ht="76.5" outlineLevel="5">
      <c r="A60" s="220" t="s">
        <v>621</v>
      </c>
      <c r="B60" s="220" t="s">
        <v>236</v>
      </c>
      <c r="C60" s="220" t="s">
        <v>240</v>
      </c>
      <c r="D60" s="220" t="s">
        <v>367</v>
      </c>
      <c r="E60" s="220" t="s">
        <v>312</v>
      </c>
      <c r="F60" s="222">
        <v>12859.438</v>
      </c>
      <c r="G60" s="222">
        <v>12859.438</v>
      </c>
      <c r="H60" s="222">
        <v>12859.438</v>
      </c>
      <c r="I60" s="218"/>
      <c r="J60" s="214"/>
      <c r="K60" s="214"/>
      <c r="L60" s="214"/>
      <c r="M60" s="214"/>
      <c r="N60" s="214"/>
      <c r="O60" s="214"/>
      <c r="P60" s="214"/>
    </row>
    <row r="61" spans="1:16" ht="38.25" outlineLevel="5">
      <c r="A61" s="220" t="s">
        <v>616</v>
      </c>
      <c r="B61" s="220" t="s">
        <v>236</v>
      </c>
      <c r="C61" s="220" t="s">
        <v>240</v>
      </c>
      <c r="D61" s="220" t="s">
        <v>367</v>
      </c>
      <c r="E61" s="220" t="s">
        <v>313</v>
      </c>
      <c r="F61" s="222">
        <v>1212.951</v>
      </c>
      <c r="G61" s="222">
        <v>1232.5350000000001</v>
      </c>
      <c r="H61" s="222">
        <v>1232.5350000000001</v>
      </c>
      <c r="I61" s="218"/>
      <c r="J61" s="214"/>
      <c r="K61" s="214"/>
      <c r="L61" s="214"/>
      <c r="M61" s="214"/>
      <c r="N61" s="214"/>
      <c r="O61" s="214"/>
      <c r="P61" s="214"/>
    </row>
    <row r="62" spans="1:16" ht="38.25" outlineLevel="4">
      <c r="A62" s="220" t="s">
        <v>635</v>
      </c>
      <c r="B62" s="220" t="s">
        <v>236</v>
      </c>
      <c r="C62" s="220" t="s">
        <v>240</v>
      </c>
      <c r="D62" s="220" t="s">
        <v>368</v>
      </c>
      <c r="E62" s="221"/>
      <c r="F62" s="222">
        <v>3143.8539999999998</v>
      </c>
      <c r="G62" s="222">
        <v>3119.1756300000002</v>
      </c>
      <c r="H62" s="222">
        <v>3119.1756300000002</v>
      </c>
      <c r="I62" s="218"/>
      <c r="J62" s="214"/>
      <c r="K62" s="214"/>
      <c r="L62" s="214"/>
      <c r="M62" s="214"/>
      <c r="N62" s="214"/>
      <c r="O62" s="214"/>
      <c r="P62" s="214"/>
    </row>
    <row r="63" spans="1:16" ht="76.5" outlineLevel="5">
      <c r="A63" s="220" t="s">
        <v>621</v>
      </c>
      <c r="B63" s="220" t="s">
        <v>236</v>
      </c>
      <c r="C63" s="220" t="s">
        <v>240</v>
      </c>
      <c r="D63" s="220" t="s">
        <v>368</v>
      </c>
      <c r="E63" s="220" t="s">
        <v>312</v>
      </c>
      <c r="F63" s="222">
        <v>2738.3249999999998</v>
      </c>
      <c r="G63" s="222">
        <v>2713.6466300000002</v>
      </c>
      <c r="H63" s="222">
        <v>2713.6466300000002</v>
      </c>
      <c r="I63" s="218"/>
      <c r="J63" s="214"/>
      <c r="K63" s="214"/>
      <c r="L63" s="214"/>
      <c r="M63" s="214"/>
      <c r="N63" s="214"/>
      <c r="O63" s="214"/>
      <c r="P63" s="214"/>
    </row>
    <row r="64" spans="1:16" ht="38.25" outlineLevel="5">
      <c r="A64" s="220" t="s">
        <v>616</v>
      </c>
      <c r="B64" s="220" t="s">
        <v>236</v>
      </c>
      <c r="C64" s="220" t="s">
        <v>240</v>
      </c>
      <c r="D64" s="220" t="s">
        <v>368</v>
      </c>
      <c r="E64" s="220" t="s">
        <v>313</v>
      </c>
      <c r="F64" s="222">
        <v>404.35899999999998</v>
      </c>
      <c r="G64" s="222">
        <v>404.35899999999998</v>
      </c>
      <c r="H64" s="222">
        <v>404.35899999999998</v>
      </c>
      <c r="I64" s="218"/>
      <c r="J64" s="214"/>
      <c r="K64" s="214"/>
      <c r="L64" s="214"/>
      <c r="M64" s="214"/>
      <c r="N64" s="214"/>
      <c r="O64" s="214"/>
      <c r="P64" s="214"/>
    </row>
    <row r="65" spans="1:16" outlineLevel="5">
      <c r="A65" s="220" t="s">
        <v>623</v>
      </c>
      <c r="B65" s="220" t="s">
        <v>236</v>
      </c>
      <c r="C65" s="220" t="s">
        <v>240</v>
      </c>
      <c r="D65" s="220" t="s">
        <v>368</v>
      </c>
      <c r="E65" s="220" t="s">
        <v>314</v>
      </c>
      <c r="F65" s="222">
        <v>1.17</v>
      </c>
      <c r="G65" s="222">
        <v>1.17</v>
      </c>
      <c r="H65" s="222">
        <v>1.17</v>
      </c>
      <c r="I65" s="218"/>
      <c r="J65" s="214"/>
      <c r="K65" s="214"/>
      <c r="L65" s="214"/>
      <c r="M65" s="214"/>
      <c r="N65" s="214"/>
      <c r="O65" s="214"/>
      <c r="P65" s="214"/>
    </row>
    <row r="66" spans="1:16" ht="51" outlineLevel="2">
      <c r="A66" s="220" t="s">
        <v>1079</v>
      </c>
      <c r="B66" s="221"/>
      <c r="C66" s="221"/>
      <c r="D66" s="220" t="s">
        <v>1080</v>
      </c>
      <c r="E66" s="221"/>
      <c r="F66" s="222">
        <v>5718.5259999999998</v>
      </c>
      <c r="G66" s="222">
        <v>5529.7858900000001</v>
      </c>
      <c r="H66" s="222">
        <v>5529.7858900000001</v>
      </c>
      <c r="I66" s="218"/>
      <c r="J66" s="214"/>
      <c r="K66" s="214"/>
      <c r="L66" s="214"/>
      <c r="M66" s="214"/>
      <c r="N66" s="214"/>
      <c r="O66" s="214"/>
      <c r="P66" s="214"/>
    </row>
    <row r="67" spans="1:16" outlineLevel="3">
      <c r="A67" s="220" t="s">
        <v>633</v>
      </c>
      <c r="B67" s="220" t="s">
        <v>236</v>
      </c>
      <c r="C67" s="220" t="s">
        <v>240</v>
      </c>
      <c r="D67" s="220" t="s">
        <v>1080</v>
      </c>
      <c r="E67" s="221"/>
      <c r="F67" s="222">
        <v>5718.5259999999998</v>
      </c>
      <c r="G67" s="222">
        <v>5529.7858900000001</v>
      </c>
      <c r="H67" s="222">
        <v>5529.7858900000001</v>
      </c>
      <c r="I67" s="218"/>
      <c r="J67" s="214"/>
      <c r="K67" s="214"/>
      <c r="L67" s="214"/>
      <c r="M67" s="214"/>
      <c r="N67" s="214"/>
      <c r="O67" s="214"/>
      <c r="P67" s="214"/>
    </row>
    <row r="68" spans="1:16" ht="38.25" outlineLevel="4">
      <c r="A68" s="220" t="s">
        <v>1081</v>
      </c>
      <c r="B68" s="220" t="s">
        <v>236</v>
      </c>
      <c r="C68" s="220" t="s">
        <v>240</v>
      </c>
      <c r="D68" s="220" t="s">
        <v>1082</v>
      </c>
      <c r="E68" s="221"/>
      <c r="F68" s="222">
        <v>5685.1260000000002</v>
      </c>
      <c r="G68" s="222">
        <v>5496.3858899999996</v>
      </c>
      <c r="H68" s="222">
        <v>5496.3858899999996</v>
      </c>
      <c r="I68" s="218"/>
      <c r="J68" s="214"/>
      <c r="K68" s="214"/>
      <c r="L68" s="214"/>
      <c r="M68" s="214"/>
      <c r="N68" s="214"/>
      <c r="O68" s="214"/>
      <c r="P68" s="214"/>
    </row>
    <row r="69" spans="1:16" ht="76.5" outlineLevel="5">
      <c r="A69" s="220" t="s">
        <v>621</v>
      </c>
      <c r="B69" s="220" t="s">
        <v>236</v>
      </c>
      <c r="C69" s="220" t="s">
        <v>240</v>
      </c>
      <c r="D69" s="220" t="s">
        <v>1082</v>
      </c>
      <c r="E69" s="220" t="s">
        <v>312</v>
      </c>
      <c r="F69" s="222">
        <v>5162.0280000000002</v>
      </c>
      <c r="G69" s="222">
        <v>4914.88789</v>
      </c>
      <c r="H69" s="222">
        <v>4914.88789</v>
      </c>
      <c r="I69" s="218"/>
      <c r="J69" s="214"/>
      <c r="K69" s="214"/>
      <c r="L69" s="214"/>
      <c r="M69" s="214"/>
      <c r="N69" s="214"/>
      <c r="O69" s="214"/>
      <c r="P69" s="214"/>
    </row>
    <row r="70" spans="1:16" ht="38.25" outlineLevel="5">
      <c r="A70" s="220" t="s">
        <v>616</v>
      </c>
      <c r="B70" s="220" t="s">
        <v>236</v>
      </c>
      <c r="C70" s="220" t="s">
        <v>240</v>
      </c>
      <c r="D70" s="220" t="s">
        <v>1082</v>
      </c>
      <c r="E70" s="220" t="s">
        <v>313</v>
      </c>
      <c r="F70" s="222">
        <v>520.38300000000004</v>
      </c>
      <c r="G70" s="222">
        <v>578.78300000000002</v>
      </c>
      <c r="H70" s="222">
        <v>578.78300000000002</v>
      </c>
      <c r="I70" s="218"/>
      <c r="J70" s="214"/>
      <c r="K70" s="214"/>
      <c r="L70" s="214"/>
      <c r="M70" s="214"/>
      <c r="N70" s="214"/>
      <c r="O70" s="214"/>
      <c r="P70" s="214"/>
    </row>
    <row r="71" spans="1:16" outlineLevel="5">
      <c r="A71" s="220" t="s">
        <v>623</v>
      </c>
      <c r="B71" s="220" t="s">
        <v>236</v>
      </c>
      <c r="C71" s="220" t="s">
        <v>240</v>
      </c>
      <c r="D71" s="220" t="s">
        <v>1082</v>
      </c>
      <c r="E71" s="220" t="s">
        <v>314</v>
      </c>
      <c r="F71" s="222">
        <v>2.7149999999999999</v>
      </c>
      <c r="G71" s="222">
        <v>2.7149999999999999</v>
      </c>
      <c r="H71" s="222">
        <v>2.7149999999999999</v>
      </c>
      <c r="I71" s="218"/>
      <c r="J71" s="214"/>
      <c r="K71" s="214"/>
      <c r="L71" s="214"/>
      <c r="M71" s="214"/>
      <c r="N71" s="214"/>
      <c r="O71" s="214"/>
      <c r="P71" s="214"/>
    </row>
    <row r="72" spans="1:16" ht="63.75" outlineLevel="4">
      <c r="A72" s="220" t="s">
        <v>1083</v>
      </c>
      <c r="B72" s="220" t="s">
        <v>236</v>
      </c>
      <c r="C72" s="220" t="s">
        <v>240</v>
      </c>
      <c r="D72" s="220" t="s">
        <v>1084</v>
      </c>
      <c r="E72" s="221"/>
      <c r="F72" s="222">
        <v>33.4</v>
      </c>
      <c r="G72" s="222">
        <v>33.4</v>
      </c>
      <c r="H72" s="222">
        <v>33.4</v>
      </c>
      <c r="I72" s="218"/>
      <c r="J72" s="214"/>
      <c r="K72" s="214"/>
      <c r="L72" s="214"/>
      <c r="M72" s="214"/>
      <c r="N72" s="214"/>
      <c r="O72" s="214"/>
      <c r="P72" s="214"/>
    </row>
    <row r="73" spans="1:16" ht="38.25" outlineLevel="5">
      <c r="A73" s="220" t="s">
        <v>616</v>
      </c>
      <c r="B73" s="220" t="s">
        <v>236</v>
      </c>
      <c r="C73" s="220" t="s">
        <v>240</v>
      </c>
      <c r="D73" s="220" t="s">
        <v>1084</v>
      </c>
      <c r="E73" s="220" t="s">
        <v>313</v>
      </c>
      <c r="F73" s="222">
        <v>33.4</v>
      </c>
      <c r="G73" s="222">
        <v>33.4</v>
      </c>
      <c r="H73" s="222">
        <v>33.4</v>
      </c>
      <c r="I73" s="218"/>
      <c r="J73" s="214"/>
      <c r="K73" s="214"/>
      <c r="L73" s="214"/>
      <c r="M73" s="214"/>
      <c r="N73" s="214"/>
      <c r="O73" s="214"/>
      <c r="P73" s="214"/>
    </row>
    <row r="74" spans="1:16" ht="38.25" outlineLevel="1">
      <c r="A74" s="220" t="s">
        <v>1085</v>
      </c>
      <c r="B74" s="221"/>
      <c r="C74" s="221"/>
      <c r="D74" s="220" t="s">
        <v>369</v>
      </c>
      <c r="E74" s="221"/>
      <c r="F74" s="222">
        <v>10408.649240000001</v>
      </c>
      <c r="G74" s="222">
        <v>8949.7111399999994</v>
      </c>
      <c r="H74" s="222">
        <v>8949.7117899999994</v>
      </c>
      <c r="I74" s="218"/>
      <c r="J74" s="214"/>
      <c r="K74" s="214"/>
      <c r="L74" s="214"/>
      <c r="M74" s="214"/>
      <c r="N74" s="214"/>
      <c r="O74" s="214"/>
      <c r="P74" s="214"/>
    </row>
    <row r="75" spans="1:16" ht="38.25" outlineLevel="2">
      <c r="A75" s="220" t="s">
        <v>1295</v>
      </c>
      <c r="B75" s="221"/>
      <c r="C75" s="221"/>
      <c r="D75" s="220" t="s">
        <v>1296</v>
      </c>
      <c r="E75" s="221"/>
      <c r="F75" s="222">
        <v>200</v>
      </c>
      <c r="G75" s="222">
        <v>0</v>
      </c>
      <c r="H75" s="222">
        <v>0</v>
      </c>
      <c r="I75" s="218"/>
      <c r="J75" s="214"/>
      <c r="K75" s="214"/>
      <c r="L75" s="214"/>
      <c r="M75" s="214"/>
      <c r="N75" s="214"/>
      <c r="O75" s="214"/>
      <c r="P75" s="214"/>
    </row>
    <row r="76" spans="1:16" outlineLevel="3">
      <c r="A76" s="220" t="s">
        <v>610</v>
      </c>
      <c r="B76" s="220" t="s">
        <v>236</v>
      </c>
      <c r="C76" s="220" t="s">
        <v>239</v>
      </c>
      <c r="D76" s="220" t="s">
        <v>1296</v>
      </c>
      <c r="E76" s="221"/>
      <c r="F76" s="222">
        <v>200</v>
      </c>
      <c r="G76" s="222">
        <v>0</v>
      </c>
      <c r="H76" s="222">
        <v>0</v>
      </c>
      <c r="I76" s="218"/>
      <c r="J76" s="214"/>
      <c r="K76" s="214"/>
      <c r="L76" s="214"/>
      <c r="M76" s="214"/>
      <c r="N76" s="214"/>
      <c r="O76" s="214"/>
      <c r="P76" s="214"/>
    </row>
    <row r="77" spans="1:16" ht="25.5" outlineLevel="4">
      <c r="A77" s="220" t="s">
        <v>1297</v>
      </c>
      <c r="B77" s="220" t="s">
        <v>236</v>
      </c>
      <c r="C77" s="220" t="s">
        <v>239</v>
      </c>
      <c r="D77" s="220" t="s">
        <v>1298</v>
      </c>
      <c r="E77" s="221"/>
      <c r="F77" s="222">
        <v>200</v>
      </c>
      <c r="G77" s="222">
        <v>0</v>
      </c>
      <c r="H77" s="222">
        <v>0</v>
      </c>
      <c r="I77" s="218"/>
      <c r="J77" s="214"/>
      <c r="K77" s="214"/>
      <c r="L77" s="214"/>
      <c r="M77" s="214"/>
      <c r="N77" s="214"/>
      <c r="O77" s="214"/>
      <c r="P77" s="214"/>
    </row>
    <row r="78" spans="1:16" ht="38.25" outlineLevel="5">
      <c r="A78" s="220" t="s">
        <v>670</v>
      </c>
      <c r="B78" s="220" t="s">
        <v>236</v>
      </c>
      <c r="C78" s="220" t="s">
        <v>239</v>
      </c>
      <c r="D78" s="220" t="s">
        <v>1298</v>
      </c>
      <c r="E78" s="220" t="s">
        <v>317</v>
      </c>
      <c r="F78" s="222">
        <v>200</v>
      </c>
      <c r="G78" s="222">
        <v>0</v>
      </c>
      <c r="H78" s="222">
        <v>0</v>
      </c>
      <c r="I78" s="218"/>
      <c r="J78" s="214"/>
      <c r="K78" s="214"/>
      <c r="L78" s="214"/>
      <c r="M78" s="214"/>
      <c r="N78" s="214"/>
      <c r="O78" s="214"/>
      <c r="P78" s="214"/>
    </row>
    <row r="79" spans="1:16" ht="25.5" outlineLevel="2">
      <c r="A79" s="220" t="s">
        <v>1086</v>
      </c>
      <c r="B79" s="221"/>
      <c r="C79" s="221"/>
      <c r="D79" s="220" t="s">
        <v>370</v>
      </c>
      <c r="E79" s="221"/>
      <c r="F79" s="222">
        <v>3054.9670000000001</v>
      </c>
      <c r="G79" s="222">
        <v>3033.20453</v>
      </c>
      <c r="H79" s="222">
        <v>3033.2051799999999</v>
      </c>
      <c r="I79" s="218"/>
      <c r="J79" s="214"/>
      <c r="K79" s="214"/>
      <c r="L79" s="214"/>
      <c r="M79" s="214"/>
      <c r="N79" s="214"/>
      <c r="O79" s="214"/>
      <c r="P79" s="214"/>
    </row>
    <row r="80" spans="1:16" outlineLevel="3">
      <c r="A80" s="220" t="s">
        <v>610</v>
      </c>
      <c r="B80" s="220" t="s">
        <v>236</v>
      </c>
      <c r="C80" s="220" t="s">
        <v>239</v>
      </c>
      <c r="D80" s="220" t="s">
        <v>370</v>
      </c>
      <c r="E80" s="221"/>
      <c r="F80" s="222">
        <v>2097.2809999999999</v>
      </c>
      <c r="G80" s="222">
        <v>737.04</v>
      </c>
      <c r="H80" s="222">
        <v>887.04</v>
      </c>
      <c r="I80" s="218"/>
      <c r="J80" s="214"/>
      <c r="K80" s="214"/>
      <c r="L80" s="214"/>
      <c r="M80" s="214"/>
      <c r="N80" s="214"/>
      <c r="O80" s="214"/>
      <c r="P80" s="214"/>
    </row>
    <row r="81" spans="1:16" ht="25.5" outlineLevel="4">
      <c r="A81" s="220" t="s">
        <v>1087</v>
      </c>
      <c r="B81" s="220" t="s">
        <v>236</v>
      </c>
      <c r="C81" s="220" t="s">
        <v>239</v>
      </c>
      <c r="D81" s="220" t="s">
        <v>371</v>
      </c>
      <c r="E81" s="221"/>
      <c r="F81" s="222">
        <v>2097.2809999999999</v>
      </c>
      <c r="G81" s="222">
        <v>737.04</v>
      </c>
      <c r="H81" s="222">
        <v>887.04</v>
      </c>
      <c r="I81" s="218"/>
      <c r="J81" s="214"/>
      <c r="K81" s="214"/>
      <c r="L81" s="214"/>
      <c r="M81" s="214"/>
      <c r="N81" s="214"/>
      <c r="O81" s="214"/>
      <c r="P81" s="214"/>
    </row>
    <row r="82" spans="1:16" ht="38.25" outlineLevel="5">
      <c r="A82" s="220" t="s">
        <v>612</v>
      </c>
      <c r="B82" s="220" t="s">
        <v>236</v>
      </c>
      <c r="C82" s="220" t="s">
        <v>239</v>
      </c>
      <c r="D82" s="220" t="s">
        <v>371</v>
      </c>
      <c r="E82" s="220" t="s">
        <v>315</v>
      </c>
      <c r="F82" s="222">
        <v>2097.2809999999999</v>
      </c>
      <c r="G82" s="222">
        <v>737.04</v>
      </c>
      <c r="H82" s="222">
        <v>887.04</v>
      </c>
      <c r="I82" s="218"/>
      <c r="J82" s="214"/>
      <c r="K82" s="214"/>
      <c r="L82" s="214"/>
      <c r="M82" s="214"/>
      <c r="N82" s="214"/>
      <c r="O82" s="214"/>
      <c r="P82" s="214"/>
    </row>
    <row r="83" spans="1:16" outlineLevel="3">
      <c r="A83" s="220" t="s">
        <v>620</v>
      </c>
      <c r="B83" s="220" t="s">
        <v>236</v>
      </c>
      <c r="C83" s="220" t="s">
        <v>237</v>
      </c>
      <c r="D83" s="220" t="s">
        <v>370</v>
      </c>
      <c r="E83" s="221"/>
      <c r="F83" s="222">
        <v>892.88599999999997</v>
      </c>
      <c r="G83" s="222">
        <v>2231.3645299999998</v>
      </c>
      <c r="H83" s="222">
        <v>2021.36518</v>
      </c>
      <c r="I83" s="218"/>
      <c r="J83" s="214"/>
      <c r="K83" s="214"/>
      <c r="L83" s="214"/>
      <c r="M83" s="214"/>
      <c r="N83" s="214"/>
      <c r="O83" s="214"/>
      <c r="P83" s="214"/>
    </row>
    <row r="84" spans="1:16" ht="25.5" outlineLevel="4">
      <c r="A84" s="220" t="s">
        <v>1087</v>
      </c>
      <c r="B84" s="220" t="s">
        <v>236</v>
      </c>
      <c r="C84" s="220" t="s">
        <v>237</v>
      </c>
      <c r="D84" s="220" t="s">
        <v>371</v>
      </c>
      <c r="E84" s="221"/>
      <c r="F84" s="222">
        <v>892.88599999999997</v>
      </c>
      <c r="G84" s="222">
        <v>2231.3645299999998</v>
      </c>
      <c r="H84" s="222">
        <v>2021.36518</v>
      </c>
      <c r="I84" s="218"/>
      <c r="J84" s="214"/>
      <c r="K84" s="214"/>
      <c r="L84" s="214"/>
      <c r="M84" s="214"/>
      <c r="N84" s="214"/>
      <c r="O84" s="214"/>
      <c r="P84" s="214"/>
    </row>
    <row r="85" spans="1:16" ht="38.25" outlineLevel="5">
      <c r="A85" s="220" t="s">
        <v>612</v>
      </c>
      <c r="B85" s="220" t="s">
        <v>236</v>
      </c>
      <c r="C85" s="220" t="s">
        <v>237</v>
      </c>
      <c r="D85" s="220" t="s">
        <v>371</v>
      </c>
      <c r="E85" s="220" t="s">
        <v>315</v>
      </c>
      <c r="F85" s="222">
        <v>892.88599999999997</v>
      </c>
      <c r="G85" s="222">
        <v>2231.3645299999998</v>
      </c>
      <c r="H85" s="222">
        <v>2021.36518</v>
      </c>
      <c r="I85" s="218"/>
      <c r="J85" s="214"/>
      <c r="K85" s="214"/>
      <c r="L85" s="214"/>
      <c r="M85" s="214"/>
      <c r="N85" s="214"/>
      <c r="O85" s="214"/>
      <c r="P85" s="214"/>
    </row>
    <row r="86" spans="1:16" outlineLevel="3">
      <c r="A86" s="220" t="s">
        <v>627</v>
      </c>
      <c r="B86" s="220" t="s">
        <v>236</v>
      </c>
      <c r="C86" s="220" t="s">
        <v>241</v>
      </c>
      <c r="D86" s="220" t="s">
        <v>370</v>
      </c>
      <c r="E86" s="221"/>
      <c r="F86" s="222">
        <v>64.8</v>
      </c>
      <c r="G86" s="222">
        <v>64.8</v>
      </c>
      <c r="H86" s="222">
        <v>124.8</v>
      </c>
      <c r="I86" s="218"/>
      <c r="J86" s="214"/>
      <c r="K86" s="214"/>
      <c r="L86" s="214"/>
      <c r="M86" s="214"/>
      <c r="N86" s="214"/>
      <c r="O86" s="214"/>
      <c r="P86" s="214"/>
    </row>
    <row r="87" spans="1:16" ht="25.5" outlineLevel="4">
      <c r="A87" s="220" t="s">
        <v>1087</v>
      </c>
      <c r="B87" s="220" t="s">
        <v>236</v>
      </c>
      <c r="C87" s="220" t="s">
        <v>241</v>
      </c>
      <c r="D87" s="220" t="s">
        <v>371</v>
      </c>
      <c r="E87" s="221"/>
      <c r="F87" s="222">
        <v>64.8</v>
      </c>
      <c r="G87" s="222">
        <v>64.8</v>
      </c>
      <c r="H87" s="222">
        <v>124.8</v>
      </c>
      <c r="I87" s="218"/>
      <c r="J87" s="214"/>
      <c r="K87" s="214"/>
      <c r="L87" s="214"/>
      <c r="M87" s="214"/>
      <c r="N87" s="214"/>
      <c r="O87" s="214"/>
      <c r="P87" s="214"/>
    </row>
    <row r="88" spans="1:16" ht="38.25" outlineLevel="5">
      <c r="A88" s="220" t="s">
        <v>612</v>
      </c>
      <c r="B88" s="220" t="s">
        <v>236</v>
      </c>
      <c r="C88" s="220" t="s">
        <v>241</v>
      </c>
      <c r="D88" s="220" t="s">
        <v>371</v>
      </c>
      <c r="E88" s="220" t="s">
        <v>315</v>
      </c>
      <c r="F88" s="222">
        <v>64.8</v>
      </c>
      <c r="G88" s="222">
        <v>64.8</v>
      </c>
      <c r="H88" s="222">
        <v>124.8</v>
      </c>
      <c r="I88" s="218"/>
      <c r="J88" s="214"/>
      <c r="K88" s="214"/>
      <c r="L88" s="214"/>
      <c r="M88" s="214"/>
      <c r="N88" s="214"/>
      <c r="O88" s="214"/>
      <c r="P88" s="214"/>
    </row>
    <row r="89" spans="1:16" ht="38.25" outlineLevel="2">
      <c r="A89" s="220" t="s">
        <v>1088</v>
      </c>
      <c r="B89" s="221"/>
      <c r="C89" s="221"/>
      <c r="D89" s="220" t="s">
        <v>372</v>
      </c>
      <c r="E89" s="221"/>
      <c r="F89" s="222">
        <v>550</v>
      </c>
      <c r="G89" s="222">
        <v>550</v>
      </c>
      <c r="H89" s="222">
        <v>550</v>
      </c>
      <c r="I89" s="218"/>
      <c r="J89" s="214"/>
      <c r="K89" s="214"/>
      <c r="L89" s="214"/>
      <c r="M89" s="214"/>
      <c r="N89" s="214"/>
      <c r="O89" s="214"/>
      <c r="P89" s="214"/>
    </row>
    <row r="90" spans="1:16" outlineLevel="3">
      <c r="A90" s="220" t="s">
        <v>620</v>
      </c>
      <c r="B90" s="220" t="s">
        <v>236</v>
      </c>
      <c r="C90" s="220" t="s">
        <v>237</v>
      </c>
      <c r="D90" s="220" t="s">
        <v>372</v>
      </c>
      <c r="E90" s="221"/>
      <c r="F90" s="222">
        <v>290</v>
      </c>
      <c r="G90" s="222">
        <v>290</v>
      </c>
      <c r="H90" s="222">
        <v>290</v>
      </c>
      <c r="I90" s="218"/>
      <c r="J90" s="214"/>
      <c r="K90" s="214"/>
      <c r="L90" s="214"/>
      <c r="M90" s="214"/>
      <c r="N90" s="214"/>
      <c r="O90" s="214"/>
      <c r="P90" s="214"/>
    </row>
    <row r="91" spans="1:16" ht="38.25" outlineLevel="4">
      <c r="A91" s="220" t="s">
        <v>1299</v>
      </c>
      <c r="B91" s="220" t="s">
        <v>236</v>
      </c>
      <c r="C91" s="220" t="s">
        <v>237</v>
      </c>
      <c r="D91" s="220" t="s">
        <v>1300</v>
      </c>
      <c r="E91" s="221"/>
      <c r="F91" s="222">
        <v>90</v>
      </c>
      <c r="G91" s="222">
        <v>90</v>
      </c>
      <c r="H91" s="222">
        <v>90</v>
      </c>
      <c r="I91" s="218"/>
      <c r="J91" s="214"/>
      <c r="K91" s="214"/>
      <c r="L91" s="214"/>
      <c r="M91" s="214"/>
      <c r="N91" s="214"/>
      <c r="O91" s="214"/>
      <c r="P91" s="214"/>
    </row>
    <row r="92" spans="1:16" ht="38.25" outlineLevel="5">
      <c r="A92" s="220" t="s">
        <v>616</v>
      </c>
      <c r="B92" s="220" t="s">
        <v>236</v>
      </c>
      <c r="C92" s="220" t="s">
        <v>237</v>
      </c>
      <c r="D92" s="220" t="s">
        <v>1300</v>
      </c>
      <c r="E92" s="220" t="s">
        <v>313</v>
      </c>
      <c r="F92" s="222">
        <v>90</v>
      </c>
      <c r="G92" s="222">
        <v>90</v>
      </c>
      <c r="H92" s="222">
        <v>90</v>
      </c>
      <c r="I92" s="218"/>
      <c r="J92" s="214"/>
      <c r="K92" s="214"/>
      <c r="L92" s="214"/>
      <c r="M92" s="214"/>
      <c r="N92" s="214"/>
      <c r="O92" s="214"/>
      <c r="P92" s="214"/>
    </row>
    <row r="93" spans="1:16" ht="38.25" outlineLevel="4">
      <c r="A93" s="220" t="s">
        <v>1089</v>
      </c>
      <c r="B93" s="220" t="s">
        <v>236</v>
      </c>
      <c r="C93" s="220" t="s">
        <v>237</v>
      </c>
      <c r="D93" s="220" t="s">
        <v>1090</v>
      </c>
      <c r="E93" s="221"/>
      <c r="F93" s="222">
        <v>200</v>
      </c>
      <c r="G93" s="222">
        <v>200</v>
      </c>
      <c r="H93" s="222">
        <v>200</v>
      </c>
      <c r="I93" s="218"/>
      <c r="J93" s="214"/>
      <c r="K93" s="214"/>
      <c r="L93" s="214"/>
      <c r="M93" s="214"/>
      <c r="N93" s="214"/>
      <c r="O93" s="214"/>
      <c r="P93" s="214"/>
    </row>
    <row r="94" spans="1:16" ht="38.25" outlineLevel="5">
      <c r="A94" s="220" t="s">
        <v>612</v>
      </c>
      <c r="B94" s="220" t="s">
        <v>236</v>
      </c>
      <c r="C94" s="220" t="s">
        <v>237</v>
      </c>
      <c r="D94" s="220" t="s">
        <v>1090</v>
      </c>
      <c r="E94" s="220" t="s">
        <v>315</v>
      </c>
      <c r="F94" s="222">
        <v>200</v>
      </c>
      <c r="G94" s="222">
        <v>200</v>
      </c>
      <c r="H94" s="222">
        <v>200</v>
      </c>
      <c r="I94" s="218"/>
      <c r="J94" s="214"/>
      <c r="K94" s="214"/>
      <c r="L94" s="214"/>
      <c r="M94" s="214"/>
      <c r="N94" s="214"/>
      <c r="O94" s="214"/>
      <c r="P94" s="214"/>
    </row>
    <row r="95" spans="1:16" outlineLevel="3">
      <c r="A95" s="220" t="s">
        <v>627</v>
      </c>
      <c r="B95" s="220" t="s">
        <v>236</v>
      </c>
      <c r="C95" s="220" t="s">
        <v>241</v>
      </c>
      <c r="D95" s="220" t="s">
        <v>372</v>
      </c>
      <c r="E95" s="221"/>
      <c r="F95" s="222">
        <v>260</v>
      </c>
      <c r="G95" s="222">
        <v>260</v>
      </c>
      <c r="H95" s="222">
        <v>260</v>
      </c>
      <c r="I95" s="218"/>
      <c r="J95" s="214"/>
      <c r="K95" s="214"/>
      <c r="L95" s="214"/>
      <c r="M95" s="214"/>
      <c r="N95" s="214"/>
      <c r="O95" s="214"/>
      <c r="P95" s="214"/>
    </row>
    <row r="96" spans="1:16" ht="25.5" outlineLevel="4">
      <c r="A96" s="220" t="s">
        <v>631</v>
      </c>
      <c r="B96" s="220" t="s">
        <v>236</v>
      </c>
      <c r="C96" s="220" t="s">
        <v>241</v>
      </c>
      <c r="D96" s="220" t="s">
        <v>1091</v>
      </c>
      <c r="E96" s="221"/>
      <c r="F96" s="222">
        <v>200</v>
      </c>
      <c r="G96" s="222">
        <v>200</v>
      </c>
      <c r="H96" s="222">
        <v>200</v>
      </c>
      <c r="I96" s="218"/>
      <c r="J96" s="214"/>
      <c r="K96" s="214"/>
      <c r="L96" s="214"/>
      <c r="M96" s="214"/>
      <c r="N96" s="214"/>
      <c r="O96" s="214"/>
      <c r="P96" s="214"/>
    </row>
    <row r="97" spans="1:16" ht="38.25" outlineLevel="5">
      <c r="A97" s="220" t="s">
        <v>612</v>
      </c>
      <c r="B97" s="220" t="s">
        <v>236</v>
      </c>
      <c r="C97" s="220" t="s">
        <v>241</v>
      </c>
      <c r="D97" s="220" t="s">
        <v>1091</v>
      </c>
      <c r="E97" s="220" t="s">
        <v>315</v>
      </c>
      <c r="F97" s="222">
        <v>200</v>
      </c>
      <c r="G97" s="222">
        <v>200</v>
      </c>
      <c r="H97" s="222">
        <v>200</v>
      </c>
      <c r="I97" s="218"/>
      <c r="J97" s="214"/>
      <c r="K97" s="214"/>
      <c r="L97" s="214"/>
      <c r="M97" s="214"/>
      <c r="N97" s="214"/>
      <c r="O97" s="214"/>
      <c r="P97" s="214"/>
    </row>
    <row r="98" spans="1:16" outlineLevel="4">
      <c r="A98" s="220" t="s">
        <v>668</v>
      </c>
      <c r="B98" s="220" t="s">
        <v>236</v>
      </c>
      <c r="C98" s="220" t="s">
        <v>241</v>
      </c>
      <c r="D98" s="220" t="s">
        <v>1092</v>
      </c>
      <c r="E98" s="221"/>
      <c r="F98" s="222">
        <v>60</v>
      </c>
      <c r="G98" s="222">
        <v>60</v>
      </c>
      <c r="H98" s="222">
        <v>60</v>
      </c>
      <c r="I98" s="218"/>
      <c r="J98" s="214"/>
      <c r="K98" s="214"/>
      <c r="L98" s="214"/>
      <c r="M98" s="214"/>
      <c r="N98" s="214"/>
      <c r="O98" s="214"/>
      <c r="P98" s="214"/>
    </row>
    <row r="99" spans="1:16" ht="38.25" outlineLevel="5">
      <c r="A99" s="220" t="s">
        <v>612</v>
      </c>
      <c r="B99" s="220" t="s">
        <v>236</v>
      </c>
      <c r="C99" s="220" t="s">
        <v>241</v>
      </c>
      <c r="D99" s="220" t="s">
        <v>1092</v>
      </c>
      <c r="E99" s="220" t="s">
        <v>315</v>
      </c>
      <c r="F99" s="222">
        <v>60</v>
      </c>
      <c r="G99" s="222">
        <v>60</v>
      </c>
      <c r="H99" s="222">
        <v>60</v>
      </c>
      <c r="I99" s="218"/>
      <c r="J99" s="214"/>
      <c r="K99" s="214"/>
      <c r="L99" s="214"/>
      <c r="M99" s="214"/>
      <c r="N99" s="214"/>
      <c r="O99" s="214"/>
      <c r="P99" s="214"/>
    </row>
    <row r="100" spans="1:16" ht="38.25" outlineLevel="2">
      <c r="A100" s="220" t="s">
        <v>625</v>
      </c>
      <c r="B100" s="221"/>
      <c r="C100" s="221"/>
      <c r="D100" s="220" t="s">
        <v>939</v>
      </c>
      <c r="E100" s="221"/>
      <c r="F100" s="222">
        <v>6603.6822400000001</v>
      </c>
      <c r="G100" s="222">
        <v>5366.5066100000004</v>
      </c>
      <c r="H100" s="222">
        <v>5366.5066100000004</v>
      </c>
      <c r="I100" s="218"/>
      <c r="J100" s="214"/>
      <c r="K100" s="214"/>
      <c r="L100" s="214"/>
      <c r="M100" s="214"/>
      <c r="N100" s="214"/>
      <c r="O100" s="214"/>
      <c r="P100" s="214"/>
    </row>
    <row r="101" spans="1:16" outlineLevel="3">
      <c r="A101" s="220" t="s">
        <v>620</v>
      </c>
      <c r="B101" s="220" t="s">
        <v>236</v>
      </c>
      <c r="C101" s="220" t="s">
        <v>237</v>
      </c>
      <c r="D101" s="220" t="s">
        <v>939</v>
      </c>
      <c r="E101" s="221"/>
      <c r="F101" s="222">
        <v>2049.58</v>
      </c>
      <c r="G101" s="222">
        <v>684</v>
      </c>
      <c r="H101" s="222">
        <v>684</v>
      </c>
      <c r="I101" s="218"/>
      <c r="J101" s="214"/>
      <c r="K101" s="214"/>
      <c r="L101" s="214"/>
      <c r="M101" s="214"/>
      <c r="N101" s="214"/>
      <c r="O101" s="214"/>
      <c r="P101" s="214"/>
    </row>
    <row r="102" spans="1:16" ht="38.25" outlineLevel="4">
      <c r="A102" s="220" t="s">
        <v>940</v>
      </c>
      <c r="B102" s="220" t="s">
        <v>236</v>
      </c>
      <c r="C102" s="220" t="s">
        <v>237</v>
      </c>
      <c r="D102" s="220" t="s">
        <v>941</v>
      </c>
      <c r="E102" s="221"/>
      <c r="F102" s="222">
        <v>1949.58</v>
      </c>
      <c r="G102" s="222">
        <v>684</v>
      </c>
      <c r="H102" s="222">
        <v>684</v>
      </c>
      <c r="I102" s="218"/>
      <c r="J102" s="214"/>
      <c r="K102" s="214"/>
      <c r="L102" s="214"/>
      <c r="M102" s="214"/>
      <c r="N102" s="214"/>
      <c r="O102" s="214"/>
      <c r="P102" s="214"/>
    </row>
    <row r="103" spans="1:16" ht="38.25" outlineLevel="5">
      <c r="A103" s="220" t="s">
        <v>612</v>
      </c>
      <c r="B103" s="220" t="s">
        <v>236</v>
      </c>
      <c r="C103" s="220" t="s">
        <v>237</v>
      </c>
      <c r="D103" s="220" t="s">
        <v>941</v>
      </c>
      <c r="E103" s="220" t="s">
        <v>315</v>
      </c>
      <c r="F103" s="222">
        <v>1949.58</v>
      </c>
      <c r="G103" s="222">
        <v>684</v>
      </c>
      <c r="H103" s="222">
        <v>684</v>
      </c>
      <c r="I103" s="218"/>
      <c r="J103" s="214"/>
      <c r="K103" s="214"/>
      <c r="L103" s="214"/>
      <c r="M103" s="214"/>
      <c r="N103" s="214"/>
      <c r="O103" s="214"/>
      <c r="P103" s="214"/>
    </row>
    <row r="104" spans="1:16" ht="38.25" outlineLevel="4">
      <c r="A104" s="220" t="s">
        <v>1301</v>
      </c>
      <c r="B104" s="220" t="s">
        <v>236</v>
      </c>
      <c r="C104" s="220" t="s">
        <v>237</v>
      </c>
      <c r="D104" s="220" t="s">
        <v>1302</v>
      </c>
      <c r="E104" s="221"/>
      <c r="F104" s="222">
        <v>100</v>
      </c>
      <c r="G104" s="222">
        <v>0</v>
      </c>
      <c r="H104" s="222">
        <v>0</v>
      </c>
      <c r="I104" s="218"/>
      <c r="J104" s="214"/>
      <c r="K104" s="214"/>
      <c r="L104" s="214"/>
      <c r="M104" s="214"/>
      <c r="N104" s="214"/>
      <c r="O104" s="214"/>
      <c r="P104" s="214"/>
    </row>
    <row r="105" spans="1:16" ht="38.25" outlineLevel="5">
      <c r="A105" s="220" t="s">
        <v>612</v>
      </c>
      <c r="B105" s="220" t="s">
        <v>236</v>
      </c>
      <c r="C105" s="220" t="s">
        <v>237</v>
      </c>
      <c r="D105" s="220" t="s">
        <v>1302</v>
      </c>
      <c r="E105" s="220" t="s">
        <v>315</v>
      </c>
      <c r="F105" s="222">
        <v>100</v>
      </c>
      <c r="G105" s="222">
        <v>0</v>
      </c>
      <c r="H105" s="222">
        <v>0</v>
      </c>
      <c r="I105" s="218"/>
      <c r="J105" s="214"/>
      <c r="K105" s="214"/>
      <c r="L105" s="214"/>
      <c r="M105" s="214"/>
      <c r="N105" s="214"/>
      <c r="O105" s="214"/>
      <c r="P105" s="214"/>
    </row>
    <row r="106" spans="1:16" outlineLevel="3">
      <c r="A106" s="220" t="s">
        <v>614</v>
      </c>
      <c r="B106" s="220" t="s">
        <v>242</v>
      </c>
      <c r="C106" s="220" t="s">
        <v>234</v>
      </c>
      <c r="D106" s="220" t="s">
        <v>939</v>
      </c>
      <c r="E106" s="221"/>
      <c r="F106" s="222">
        <v>4554.1022400000002</v>
      </c>
      <c r="G106" s="222">
        <v>4682.5066100000004</v>
      </c>
      <c r="H106" s="222">
        <v>4682.5066100000004</v>
      </c>
      <c r="I106" s="218"/>
      <c r="J106" s="214"/>
      <c r="K106" s="214"/>
      <c r="L106" s="214"/>
      <c r="M106" s="214"/>
      <c r="N106" s="214"/>
      <c r="O106" s="214"/>
      <c r="P106" s="214"/>
    </row>
    <row r="107" spans="1:16" ht="89.25" outlineLevel="4">
      <c r="A107" s="220" t="s">
        <v>615</v>
      </c>
      <c r="B107" s="220" t="s">
        <v>242</v>
      </c>
      <c r="C107" s="220" t="s">
        <v>234</v>
      </c>
      <c r="D107" s="220" t="s">
        <v>1093</v>
      </c>
      <c r="E107" s="221"/>
      <c r="F107" s="222">
        <v>4554.1022400000002</v>
      </c>
      <c r="G107" s="222">
        <v>4682.5066100000004</v>
      </c>
      <c r="H107" s="222">
        <v>4682.5066100000004</v>
      </c>
      <c r="I107" s="218"/>
      <c r="J107" s="214"/>
      <c r="K107" s="214"/>
      <c r="L107" s="214"/>
      <c r="M107" s="214"/>
      <c r="N107" s="214"/>
      <c r="O107" s="214"/>
      <c r="P107" s="214"/>
    </row>
    <row r="108" spans="1:16" ht="38.25" outlineLevel="5">
      <c r="A108" s="220" t="s">
        <v>616</v>
      </c>
      <c r="B108" s="220" t="s">
        <v>242</v>
      </c>
      <c r="C108" s="220" t="s">
        <v>234</v>
      </c>
      <c r="D108" s="220" t="s">
        <v>1093</v>
      </c>
      <c r="E108" s="220" t="s">
        <v>313</v>
      </c>
      <c r="F108" s="222">
        <v>67.302000000000007</v>
      </c>
      <c r="G108" s="222">
        <v>69.199610000000007</v>
      </c>
      <c r="H108" s="222">
        <v>69.199610000000007</v>
      </c>
      <c r="I108" s="218"/>
      <c r="J108" s="214"/>
      <c r="K108" s="214"/>
      <c r="L108" s="214"/>
      <c r="M108" s="214"/>
      <c r="N108" s="214"/>
      <c r="O108" s="214"/>
      <c r="P108" s="214"/>
    </row>
    <row r="109" spans="1:16" ht="25.5" outlineLevel="5">
      <c r="A109" s="220" t="s">
        <v>617</v>
      </c>
      <c r="B109" s="220" t="s">
        <v>242</v>
      </c>
      <c r="C109" s="220" t="s">
        <v>234</v>
      </c>
      <c r="D109" s="220" t="s">
        <v>1093</v>
      </c>
      <c r="E109" s="220" t="s">
        <v>318</v>
      </c>
      <c r="F109" s="222">
        <v>4486.8002399999996</v>
      </c>
      <c r="G109" s="222">
        <v>4613.3069999999998</v>
      </c>
      <c r="H109" s="222">
        <v>4613.3069999999998</v>
      </c>
      <c r="I109" s="218"/>
      <c r="J109" s="214"/>
      <c r="K109" s="214"/>
      <c r="L109" s="214"/>
      <c r="M109" s="214"/>
      <c r="N109" s="214"/>
      <c r="O109" s="214"/>
      <c r="P109" s="214"/>
    </row>
    <row r="110" spans="1:16" ht="38.25">
      <c r="A110" s="220" t="s">
        <v>491</v>
      </c>
      <c r="B110" s="221"/>
      <c r="C110" s="221"/>
      <c r="D110" s="220" t="s">
        <v>373</v>
      </c>
      <c r="E110" s="221"/>
      <c r="F110" s="222">
        <v>59240.959300000002</v>
      </c>
      <c r="G110" s="222">
        <v>44115.061000000002</v>
      </c>
      <c r="H110" s="222">
        <v>39115.061000000002</v>
      </c>
      <c r="I110" s="218"/>
      <c r="J110" s="214"/>
      <c r="K110" s="214"/>
      <c r="L110" s="214"/>
      <c r="M110" s="214"/>
      <c r="N110" s="214"/>
      <c r="O110" s="214"/>
      <c r="P110" s="214"/>
    </row>
    <row r="111" spans="1:16" outlineLevel="1">
      <c r="A111" s="220" t="s">
        <v>636</v>
      </c>
      <c r="B111" s="221"/>
      <c r="C111" s="221"/>
      <c r="D111" s="220" t="s">
        <v>374</v>
      </c>
      <c r="E111" s="221"/>
      <c r="F111" s="222">
        <v>27448.359899999999</v>
      </c>
      <c r="G111" s="222">
        <v>20521.285</v>
      </c>
      <c r="H111" s="222">
        <v>20521.285</v>
      </c>
      <c r="I111" s="218"/>
      <c r="J111" s="214"/>
      <c r="K111" s="214"/>
      <c r="L111" s="214"/>
      <c r="M111" s="214"/>
      <c r="N111" s="214"/>
      <c r="O111" s="214"/>
      <c r="P111" s="214"/>
    </row>
    <row r="112" spans="1:16" ht="25.5" outlineLevel="2">
      <c r="A112" s="220" t="s">
        <v>637</v>
      </c>
      <c r="B112" s="221"/>
      <c r="C112" s="221"/>
      <c r="D112" s="220" t="s">
        <v>375</v>
      </c>
      <c r="E112" s="221"/>
      <c r="F112" s="222">
        <v>24148.375899999999</v>
      </c>
      <c r="G112" s="222">
        <v>17226.785</v>
      </c>
      <c r="H112" s="222">
        <v>17226.785</v>
      </c>
      <c r="I112" s="218"/>
      <c r="J112" s="214"/>
      <c r="K112" s="214"/>
      <c r="L112" s="214"/>
      <c r="M112" s="214"/>
      <c r="N112" s="214"/>
      <c r="O112" s="214"/>
      <c r="P112" s="214"/>
    </row>
    <row r="113" spans="1:16" outlineLevel="3">
      <c r="A113" s="220" t="s">
        <v>638</v>
      </c>
      <c r="B113" s="220" t="s">
        <v>238</v>
      </c>
      <c r="C113" s="220" t="s">
        <v>239</v>
      </c>
      <c r="D113" s="220" t="s">
        <v>375</v>
      </c>
      <c r="E113" s="221"/>
      <c r="F113" s="222">
        <v>24148.375899999999</v>
      </c>
      <c r="G113" s="222">
        <v>17226.785</v>
      </c>
      <c r="H113" s="222">
        <v>17226.785</v>
      </c>
      <c r="I113" s="218"/>
      <c r="J113" s="214"/>
      <c r="K113" s="214"/>
      <c r="L113" s="214"/>
      <c r="M113" s="214"/>
      <c r="N113" s="214"/>
      <c r="O113" s="214"/>
      <c r="P113" s="214"/>
    </row>
    <row r="114" spans="1:16" ht="25.5" outlineLevel="4">
      <c r="A114" s="220" t="s">
        <v>957</v>
      </c>
      <c r="B114" s="220" t="s">
        <v>238</v>
      </c>
      <c r="C114" s="220" t="s">
        <v>239</v>
      </c>
      <c r="D114" s="220" t="s">
        <v>963</v>
      </c>
      <c r="E114" s="221"/>
      <c r="F114" s="222">
        <v>2033.5840000000001</v>
      </c>
      <c r="G114" s="222">
        <v>2033.5840000000001</v>
      </c>
      <c r="H114" s="222">
        <v>2033.5840000000001</v>
      </c>
      <c r="I114" s="218"/>
      <c r="J114" s="214"/>
      <c r="K114" s="214"/>
      <c r="L114" s="214"/>
      <c r="M114" s="214"/>
      <c r="N114" s="214"/>
      <c r="O114" s="214"/>
      <c r="P114" s="214"/>
    </row>
    <row r="115" spans="1:16" ht="38.25" outlineLevel="5">
      <c r="A115" s="220" t="s">
        <v>612</v>
      </c>
      <c r="B115" s="220" t="s">
        <v>238</v>
      </c>
      <c r="C115" s="220" t="s">
        <v>239</v>
      </c>
      <c r="D115" s="220" t="s">
        <v>963</v>
      </c>
      <c r="E115" s="220" t="s">
        <v>315</v>
      </c>
      <c r="F115" s="222">
        <v>2033.5840000000001</v>
      </c>
      <c r="G115" s="222">
        <v>2033.5840000000001</v>
      </c>
      <c r="H115" s="222">
        <v>2033.5840000000001</v>
      </c>
      <c r="I115" s="218"/>
      <c r="J115" s="214"/>
      <c r="K115" s="214"/>
      <c r="L115" s="214"/>
      <c r="M115" s="214"/>
      <c r="N115" s="214"/>
      <c r="O115" s="214"/>
      <c r="P115" s="214"/>
    </row>
    <row r="116" spans="1:16" ht="38.25" outlineLevel="4">
      <c r="A116" s="220" t="s">
        <v>639</v>
      </c>
      <c r="B116" s="220" t="s">
        <v>238</v>
      </c>
      <c r="C116" s="220" t="s">
        <v>239</v>
      </c>
      <c r="D116" s="220" t="s">
        <v>376</v>
      </c>
      <c r="E116" s="221"/>
      <c r="F116" s="222">
        <v>14641.0599</v>
      </c>
      <c r="G116" s="222">
        <v>14609.601000000001</v>
      </c>
      <c r="H116" s="222">
        <v>14609.601000000001</v>
      </c>
      <c r="I116" s="218"/>
      <c r="J116" s="214"/>
      <c r="K116" s="214"/>
      <c r="L116" s="214"/>
      <c r="M116" s="214"/>
      <c r="N116" s="214"/>
      <c r="O116" s="214"/>
      <c r="P116" s="214"/>
    </row>
    <row r="117" spans="1:16" ht="38.25" outlineLevel="5">
      <c r="A117" s="220" t="s">
        <v>612</v>
      </c>
      <c r="B117" s="220" t="s">
        <v>238</v>
      </c>
      <c r="C117" s="220" t="s">
        <v>239</v>
      </c>
      <c r="D117" s="220" t="s">
        <v>376</v>
      </c>
      <c r="E117" s="220" t="s">
        <v>315</v>
      </c>
      <c r="F117" s="222">
        <v>14641.0599</v>
      </c>
      <c r="G117" s="222">
        <v>14609.601000000001</v>
      </c>
      <c r="H117" s="222">
        <v>14609.601000000001</v>
      </c>
      <c r="I117" s="218"/>
      <c r="J117" s="214"/>
      <c r="K117" s="214"/>
      <c r="L117" s="214"/>
      <c r="M117" s="214"/>
      <c r="N117" s="214"/>
      <c r="O117" s="214"/>
      <c r="P117" s="214"/>
    </row>
    <row r="118" spans="1:16" ht="38.25" outlineLevel="4">
      <c r="A118" s="220" t="s">
        <v>640</v>
      </c>
      <c r="B118" s="220" t="s">
        <v>238</v>
      </c>
      <c r="C118" s="220" t="s">
        <v>239</v>
      </c>
      <c r="D118" s="220" t="s">
        <v>377</v>
      </c>
      <c r="E118" s="221"/>
      <c r="F118" s="222">
        <v>583.6</v>
      </c>
      <c r="G118" s="222">
        <v>583.6</v>
      </c>
      <c r="H118" s="222">
        <v>583.6</v>
      </c>
      <c r="I118" s="218"/>
      <c r="J118" s="214"/>
      <c r="K118" s="214"/>
      <c r="L118" s="214"/>
      <c r="M118" s="214"/>
      <c r="N118" s="214"/>
      <c r="O118" s="214"/>
      <c r="P118" s="214"/>
    </row>
    <row r="119" spans="1:16" ht="38.25" outlineLevel="5">
      <c r="A119" s="220" t="s">
        <v>612</v>
      </c>
      <c r="B119" s="220" t="s">
        <v>238</v>
      </c>
      <c r="C119" s="220" t="s">
        <v>239</v>
      </c>
      <c r="D119" s="220" t="s">
        <v>377</v>
      </c>
      <c r="E119" s="220" t="s">
        <v>315</v>
      </c>
      <c r="F119" s="222">
        <v>583.6</v>
      </c>
      <c r="G119" s="222">
        <v>583.6</v>
      </c>
      <c r="H119" s="222">
        <v>583.6</v>
      </c>
      <c r="I119" s="218"/>
      <c r="J119" s="214"/>
      <c r="K119" s="214"/>
      <c r="L119" s="214"/>
      <c r="M119" s="214"/>
      <c r="N119" s="214"/>
      <c r="O119" s="214"/>
      <c r="P119" s="214"/>
    </row>
    <row r="120" spans="1:16" ht="25.5" outlineLevel="4">
      <c r="A120" s="220" t="s">
        <v>1363</v>
      </c>
      <c r="B120" s="220" t="s">
        <v>238</v>
      </c>
      <c r="C120" s="220" t="s">
        <v>239</v>
      </c>
      <c r="D120" s="220" t="s">
        <v>1364</v>
      </c>
      <c r="E120" s="221"/>
      <c r="F120" s="222">
        <v>26.58</v>
      </c>
      <c r="G120" s="222">
        <v>0</v>
      </c>
      <c r="H120" s="222">
        <v>0</v>
      </c>
      <c r="I120" s="218"/>
      <c r="J120" s="214"/>
      <c r="K120" s="214"/>
      <c r="L120" s="214"/>
      <c r="M120" s="214"/>
      <c r="N120" s="214"/>
      <c r="O120" s="214"/>
      <c r="P120" s="214"/>
    </row>
    <row r="121" spans="1:16" ht="38.25" outlineLevel="5">
      <c r="A121" s="220" t="s">
        <v>612</v>
      </c>
      <c r="B121" s="220" t="s">
        <v>238</v>
      </c>
      <c r="C121" s="220" t="s">
        <v>239</v>
      </c>
      <c r="D121" s="220" t="s">
        <v>1364</v>
      </c>
      <c r="E121" s="220" t="s">
        <v>315</v>
      </c>
      <c r="F121" s="222">
        <v>26.58</v>
      </c>
      <c r="G121" s="222">
        <v>0</v>
      </c>
      <c r="H121" s="222">
        <v>0</v>
      </c>
      <c r="I121" s="218"/>
      <c r="J121" s="214"/>
      <c r="K121" s="214"/>
      <c r="L121" s="214"/>
      <c r="M121" s="214"/>
      <c r="N121" s="214"/>
      <c r="O121" s="214"/>
      <c r="P121" s="214"/>
    </row>
    <row r="122" spans="1:16" ht="51" outlineLevel="4">
      <c r="A122" s="220" t="s">
        <v>1094</v>
      </c>
      <c r="B122" s="220" t="s">
        <v>238</v>
      </c>
      <c r="C122" s="220" t="s">
        <v>239</v>
      </c>
      <c r="D122" s="220" t="s">
        <v>1095</v>
      </c>
      <c r="E122" s="221"/>
      <c r="F122" s="222">
        <v>6863.5519999999997</v>
      </c>
      <c r="G122" s="222">
        <v>0</v>
      </c>
      <c r="H122" s="222">
        <v>0</v>
      </c>
      <c r="I122" s="218"/>
      <c r="J122" s="214"/>
      <c r="K122" s="214"/>
      <c r="L122" s="214"/>
      <c r="M122" s="214"/>
      <c r="N122" s="214"/>
      <c r="O122" s="214"/>
      <c r="P122" s="214"/>
    </row>
    <row r="123" spans="1:16" ht="38.25" outlineLevel="5">
      <c r="A123" s="220" t="s">
        <v>612</v>
      </c>
      <c r="B123" s="220" t="s">
        <v>238</v>
      </c>
      <c r="C123" s="220" t="s">
        <v>239</v>
      </c>
      <c r="D123" s="220" t="s">
        <v>1095</v>
      </c>
      <c r="E123" s="220" t="s">
        <v>315</v>
      </c>
      <c r="F123" s="222">
        <v>6863.5519999999997</v>
      </c>
      <c r="G123" s="222">
        <v>0</v>
      </c>
      <c r="H123" s="222">
        <v>0</v>
      </c>
      <c r="I123" s="218"/>
      <c r="J123" s="214"/>
      <c r="K123" s="214"/>
      <c r="L123" s="214"/>
      <c r="M123" s="214"/>
      <c r="N123" s="214"/>
      <c r="O123" s="214"/>
      <c r="P123" s="214"/>
    </row>
    <row r="124" spans="1:16" ht="25.5" outlineLevel="2">
      <c r="A124" s="220" t="s">
        <v>641</v>
      </c>
      <c r="B124" s="221"/>
      <c r="C124" s="221"/>
      <c r="D124" s="220" t="s">
        <v>378</v>
      </c>
      <c r="E124" s="221"/>
      <c r="F124" s="222">
        <v>3243.9839999999999</v>
      </c>
      <c r="G124" s="222">
        <v>3238.5</v>
      </c>
      <c r="H124" s="222">
        <v>3238.5</v>
      </c>
      <c r="I124" s="218"/>
      <c r="J124" s="214"/>
      <c r="K124" s="214"/>
      <c r="L124" s="214"/>
      <c r="M124" s="214"/>
      <c r="N124" s="214"/>
      <c r="O124" s="214"/>
      <c r="P124" s="214"/>
    </row>
    <row r="125" spans="1:16" outlineLevel="3">
      <c r="A125" s="220" t="s">
        <v>642</v>
      </c>
      <c r="B125" s="220" t="s">
        <v>239</v>
      </c>
      <c r="C125" s="220" t="s">
        <v>6</v>
      </c>
      <c r="D125" s="220" t="s">
        <v>378</v>
      </c>
      <c r="E125" s="221"/>
      <c r="F125" s="222">
        <v>3243.9839999999999</v>
      </c>
      <c r="G125" s="222">
        <v>3238.5</v>
      </c>
      <c r="H125" s="222">
        <v>3238.5</v>
      </c>
      <c r="I125" s="218"/>
      <c r="J125" s="214"/>
      <c r="K125" s="214"/>
      <c r="L125" s="214"/>
      <c r="M125" s="214"/>
      <c r="N125" s="214"/>
      <c r="O125" s="214"/>
      <c r="P125" s="214"/>
    </row>
    <row r="126" spans="1:16" ht="25.5" outlineLevel="4">
      <c r="A126" s="220" t="s">
        <v>957</v>
      </c>
      <c r="B126" s="220" t="s">
        <v>239</v>
      </c>
      <c r="C126" s="220" t="s">
        <v>6</v>
      </c>
      <c r="D126" s="220" t="s">
        <v>964</v>
      </c>
      <c r="E126" s="221"/>
      <c r="F126" s="222">
        <v>732.14800000000002</v>
      </c>
      <c r="G126" s="222">
        <v>732.14800000000002</v>
      </c>
      <c r="H126" s="222">
        <v>732.14800000000002</v>
      </c>
      <c r="I126" s="218"/>
      <c r="J126" s="214"/>
      <c r="K126" s="214"/>
      <c r="L126" s="214"/>
      <c r="M126" s="214"/>
      <c r="N126" s="214"/>
      <c r="O126" s="214"/>
      <c r="P126" s="214"/>
    </row>
    <row r="127" spans="1:16" ht="38.25" outlineLevel="5">
      <c r="A127" s="220" t="s">
        <v>612</v>
      </c>
      <c r="B127" s="220" t="s">
        <v>239</v>
      </c>
      <c r="C127" s="220" t="s">
        <v>6</v>
      </c>
      <c r="D127" s="220" t="s">
        <v>964</v>
      </c>
      <c r="E127" s="220" t="s">
        <v>315</v>
      </c>
      <c r="F127" s="222">
        <v>732.14800000000002</v>
      </c>
      <c r="G127" s="222">
        <v>732.14800000000002</v>
      </c>
      <c r="H127" s="222">
        <v>732.14800000000002</v>
      </c>
      <c r="I127" s="218"/>
      <c r="J127" s="214"/>
      <c r="K127" s="214"/>
      <c r="L127" s="214"/>
      <c r="M127" s="214"/>
      <c r="N127" s="214"/>
      <c r="O127" s="214"/>
      <c r="P127" s="214"/>
    </row>
    <row r="128" spans="1:16" ht="51" outlineLevel="4">
      <c r="A128" s="220" t="s">
        <v>643</v>
      </c>
      <c r="B128" s="220" t="s">
        <v>239</v>
      </c>
      <c r="C128" s="220" t="s">
        <v>6</v>
      </c>
      <c r="D128" s="220" t="s">
        <v>379</v>
      </c>
      <c r="E128" s="221"/>
      <c r="F128" s="222">
        <v>2511.8359999999998</v>
      </c>
      <c r="G128" s="222">
        <v>2506.3519999999999</v>
      </c>
      <c r="H128" s="222">
        <v>2506.3519999999999</v>
      </c>
      <c r="I128" s="218"/>
      <c r="J128" s="214"/>
      <c r="K128" s="214"/>
      <c r="L128" s="214"/>
      <c r="M128" s="214"/>
      <c r="N128" s="214"/>
      <c r="O128" s="214"/>
      <c r="P128" s="214"/>
    </row>
    <row r="129" spans="1:16" ht="38.25" outlineLevel="5">
      <c r="A129" s="220" t="s">
        <v>612</v>
      </c>
      <c r="B129" s="220" t="s">
        <v>239</v>
      </c>
      <c r="C129" s="220" t="s">
        <v>6</v>
      </c>
      <c r="D129" s="220" t="s">
        <v>379</v>
      </c>
      <c r="E129" s="220" t="s">
        <v>315</v>
      </c>
      <c r="F129" s="222">
        <v>2511.8359999999998</v>
      </c>
      <c r="G129" s="222">
        <v>2506.3519999999999</v>
      </c>
      <c r="H129" s="222">
        <v>2506.3519999999999</v>
      </c>
      <c r="I129" s="218"/>
      <c r="J129" s="214"/>
      <c r="K129" s="214"/>
      <c r="L129" s="214"/>
      <c r="M129" s="214"/>
      <c r="N129" s="214"/>
      <c r="O129" s="214"/>
      <c r="P129" s="214"/>
    </row>
    <row r="130" spans="1:16" ht="38.25" outlineLevel="2">
      <c r="A130" s="220" t="s">
        <v>644</v>
      </c>
      <c r="B130" s="221"/>
      <c r="C130" s="221"/>
      <c r="D130" s="220" t="s">
        <v>380</v>
      </c>
      <c r="E130" s="221"/>
      <c r="F130" s="222">
        <v>56</v>
      </c>
      <c r="G130" s="222">
        <v>56</v>
      </c>
      <c r="H130" s="222">
        <v>56</v>
      </c>
      <c r="I130" s="218"/>
      <c r="J130" s="214"/>
      <c r="K130" s="214"/>
      <c r="L130" s="214"/>
      <c r="M130" s="214"/>
      <c r="N130" s="214"/>
      <c r="O130" s="214"/>
      <c r="P130" s="214"/>
    </row>
    <row r="131" spans="1:16" outlineLevel="3">
      <c r="A131" s="220" t="s">
        <v>638</v>
      </c>
      <c r="B131" s="220" t="s">
        <v>238</v>
      </c>
      <c r="C131" s="220" t="s">
        <v>239</v>
      </c>
      <c r="D131" s="220" t="s">
        <v>380</v>
      </c>
      <c r="E131" s="221"/>
      <c r="F131" s="222">
        <v>56</v>
      </c>
      <c r="G131" s="222">
        <v>56</v>
      </c>
      <c r="H131" s="222">
        <v>56</v>
      </c>
      <c r="I131" s="218"/>
      <c r="J131" s="214"/>
      <c r="K131" s="214"/>
      <c r="L131" s="214"/>
      <c r="M131" s="214"/>
      <c r="N131" s="214"/>
      <c r="O131" s="214"/>
      <c r="P131" s="214"/>
    </row>
    <row r="132" spans="1:16" ht="89.25" outlineLevel="4">
      <c r="A132" s="220" t="s">
        <v>645</v>
      </c>
      <c r="B132" s="220" t="s">
        <v>238</v>
      </c>
      <c r="C132" s="220" t="s">
        <v>239</v>
      </c>
      <c r="D132" s="220" t="s">
        <v>381</v>
      </c>
      <c r="E132" s="221"/>
      <c r="F132" s="222">
        <v>56</v>
      </c>
      <c r="G132" s="222">
        <v>56</v>
      </c>
      <c r="H132" s="222">
        <v>56</v>
      </c>
      <c r="I132" s="218"/>
      <c r="J132" s="214"/>
      <c r="K132" s="214"/>
      <c r="L132" s="214"/>
      <c r="M132" s="214"/>
      <c r="N132" s="214"/>
      <c r="O132" s="214"/>
      <c r="P132" s="214"/>
    </row>
    <row r="133" spans="1:16" ht="38.25" outlineLevel="5">
      <c r="A133" s="220" t="s">
        <v>616</v>
      </c>
      <c r="B133" s="220" t="s">
        <v>238</v>
      </c>
      <c r="C133" s="220" t="s">
        <v>239</v>
      </c>
      <c r="D133" s="220" t="s">
        <v>381</v>
      </c>
      <c r="E133" s="220" t="s">
        <v>313</v>
      </c>
      <c r="F133" s="222">
        <v>56</v>
      </c>
      <c r="G133" s="222">
        <v>56</v>
      </c>
      <c r="H133" s="222">
        <v>56</v>
      </c>
      <c r="I133" s="218"/>
      <c r="J133" s="214"/>
      <c r="K133" s="214"/>
      <c r="L133" s="214"/>
      <c r="M133" s="214"/>
      <c r="N133" s="214"/>
      <c r="O133" s="214"/>
      <c r="P133" s="214"/>
    </row>
    <row r="134" spans="1:16" ht="25.5" outlineLevel="1">
      <c r="A134" s="220" t="s">
        <v>646</v>
      </c>
      <c r="B134" s="221"/>
      <c r="C134" s="221"/>
      <c r="D134" s="220" t="s">
        <v>382</v>
      </c>
      <c r="E134" s="221"/>
      <c r="F134" s="222">
        <v>28211.4234</v>
      </c>
      <c r="G134" s="222">
        <v>20012.599999999999</v>
      </c>
      <c r="H134" s="222">
        <v>15012.6</v>
      </c>
      <c r="I134" s="218"/>
      <c r="J134" s="214"/>
      <c r="K134" s="214"/>
      <c r="L134" s="214"/>
      <c r="M134" s="214"/>
      <c r="N134" s="214"/>
      <c r="O134" s="214"/>
      <c r="P134" s="214"/>
    </row>
    <row r="135" spans="1:16" ht="38.25" outlineLevel="2">
      <c r="A135" s="220" t="s">
        <v>647</v>
      </c>
      <c r="B135" s="221"/>
      <c r="C135" s="221"/>
      <c r="D135" s="220" t="s">
        <v>383</v>
      </c>
      <c r="E135" s="221"/>
      <c r="F135" s="222">
        <v>28211.4234</v>
      </c>
      <c r="G135" s="222">
        <v>20012.599999999999</v>
      </c>
      <c r="H135" s="222">
        <v>15012.6</v>
      </c>
      <c r="I135" s="218"/>
      <c r="J135" s="214"/>
      <c r="K135" s="214"/>
      <c r="L135" s="214"/>
      <c r="M135" s="214"/>
      <c r="N135" s="214"/>
      <c r="O135" s="214"/>
      <c r="P135" s="214"/>
    </row>
    <row r="136" spans="1:16" outlineLevel="3">
      <c r="A136" s="220" t="s">
        <v>638</v>
      </c>
      <c r="B136" s="220" t="s">
        <v>238</v>
      </c>
      <c r="C136" s="220" t="s">
        <v>239</v>
      </c>
      <c r="D136" s="220" t="s">
        <v>383</v>
      </c>
      <c r="E136" s="221"/>
      <c r="F136" s="222">
        <v>28211.4234</v>
      </c>
      <c r="G136" s="222">
        <v>20012.599999999999</v>
      </c>
      <c r="H136" s="222">
        <v>15012.6</v>
      </c>
      <c r="I136" s="218"/>
      <c r="J136" s="214"/>
      <c r="K136" s="214"/>
      <c r="L136" s="214"/>
      <c r="M136" s="214"/>
      <c r="N136" s="214"/>
      <c r="O136" s="214"/>
      <c r="P136" s="214"/>
    </row>
    <row r="137" spans="1:16" ht="25.5" outlineLevel="4">
      <c r="A137" s="220" t="s">
        <v>957</v>
      </c>
      <c r="B137" s="220" t="s">
        <v>238</v>
      </c>
      <c r="C137" s="220" t="s">
        <v>239</v>
      </c>
      <c r="D137" s="220" t="s">
        <v>965</v>
      </c>
      <c r="E137" s="221"/>
      <c r="F137" s="222">
        <v>2247.9209999999998</v>
      </c>
      <c r="G137" s="222">
        <v>2247.9209999999998</v>
      </c>
      <c r="H137" s="222">
        <v>247.92099999999999</v>
      </c>
      <c r="I137" s="218"/>
      <c r="J137" s="214"/>
      <c r="K137" s="214"/>
      <c r="L137" s="214"/>
      <c r="M137" s="214"/>
      <c r="N137" s="214"/>
      <c r="O137" s="214"/>
      <c r="P137" s="214"/>
    </row>
    <row r="138" spans="1:16" ht="38.25" outlineLevel="5">
      <c r="A138" s="220" t="s">
        <v>612</v>
      </c>
      <c r="B138" s="220" t="s">
        <v>238</v>
      </c>
      <c r="C138" s="220" t="s">
        <v>239</v>
      </c>
      <c r="D138" s="220" t="s">
        <v>965</v>
      </c>
      <c r="E138" s="220" t="s">
        <v>315</v>
      </c>
      <c r="F138" s="222">
        <v>2247.9209999999998</v>
      </c>
      <c r="G138" s="222">
        <v>2247.9209999999998</v>
      </c>
      <c r="H138" s="222">
        <v>247.92099999999999</v>
      </c>
      <c r="I138" s="218"/>
      <c r="J138" s="214"/>
      <c r="K138" s="214"/>
      <c r="L138" s="214"/>
      <c r="M138" s="214"/>
      <c r="N138" s="214"/>
      <c r="O138" s="214"/>
      <c r="P138" s="214"/>
    </row>
    <row r="139" spans="1:16" ht="63.75" outlineLevel="4">
      <c r="A139" s="220" t="s">
        <v>649</v>
      </c>
      <c r="B139" s="220" t="s">
        <v>238</v>
      </c>
      <c r="C139" s="220" t="s">
        <v>239</v>
      </c>
      <c r="D139" s="220" t="s">
        <v>384</v>
      </c>
      <c r="E139" s="221"/>
      <c r="F139" s="222">
        <v>17646.778399999999</v>
      </c>
      <c r="G139" s="222">
        <v>17764.679</v>
      </c>
      <c r="H139" s="222">
        <v>14764.679</v>
      </c>
      <c r="I139" s="218"/>
      <c r="J139" s="214"/>
      <c r="K139" s="214"/>
      <c r="L139" s="214"/>
      <c r="M139" s="214"/>
      <c r="N139" s="214"/>
      <c r="O139" s="214"/>
      <c r="P139" s="214"/>
    </row>
    <row r="140" spans="1:16" ht="38.25" outlineLevel="5">
      <c r="A140" s="220" t="s">
        <v>612</v>
      </c>
      <c r="B140" s="220" t="s">
        <v>238</v>
      </c>
      <c r="C140" s="220" t="s">
        <v>239</v>
      </c>
      <c r="D140" s="220" t="s">
        <v>384</v>
      </c>
      <c r="E140" s="220" t="s">
        <v>315</v>
      </c>
      <c r="F140" s="222">
        <v>17646.778399999999</v>
      </c>
      <c r="G140" s="222">
        <v>17764.679</v>
      </c>
      <c r="H140" s="222">
        <v>14764.679</v>
      </c>
      <c r="I140" s="218"/>
      <c r="J140" s="214"/>
      <c r="K140" s="214"/>
      <c r="L140" s="214"/>
      <c r="M140" s="214"/>
      <c r="N140" s="214"/>
      <c r="O140" s="214"/>
      <c r="P140" s="214"/>
    </row>
    <row r="141" spans="1:16" ht="25.5" outlineLevel="4">
      <c r="A141" s="220" t="s">
        <v>1343</v>
      </c>
      <c r="B141" s="220" t="s">
        <v>238</v>
      </c>
      <c r="C141" s="220" t="s">
        <v>239</v>
      </c>
      <c r="D141" s="220" t="s">
        <v>1344</v>
      </c>
      <c r="E141" s="221"/>
      <c r="F141" s="222">
        <v>640.70000000000005</v>
      </c>
      <c r="G141" s="222">
        <v>0</v>
      </c>
      <c r="H141" s="222">
        <v>0</v>
      </c>
      <c r="I141" s="218"/>
      <c r="J141" s="214"/>
      <c r="K141" s="214"/>
      <c r="L141" s="214"/>
      <c r="M141" s="214"/>
      <c r="N141" s="214"/>
      <c r="O141" s="214"/>
      <c r="P141" s="214"/>
    </row>
    <row r="142" spans="1:16" ht="38.25" outlineLevel="5">
      <c r="A142" s="220" t="s">
        <v>616</v>
      </c>
      <c r="B142" s="220" t="s">
        <v>238</v>
      </c>
      <c r="C142" s="220" t="s">
        <v>239</v>
      </c>
      <c r="D142" s="220" t="s">
        <v>1344</v>
      </c>
      <c r="E142" s="220" t="s">
        <v>313</v>
      </c>
      <c r="F142" s="222">
        <v>610.70000000000005</v>
      </c>
      <c r="G142" s="222">
        <v>0</v>
      </c>
      <c r="H142" s="222">
        <v>0</v>
      </c>
      <c r="I142" s="218"/>
      <c r="J142" s="214"/>
      <c r="K142" s="214"/>
      <c r="L142" s="214"/>
      <c r="M142" s="214"/>
      <c r="N142" s="214"/>
      <c r="O142" s="214"/>
      <c r="P142" s="214"/>
    </row>
    <row r="143" spans="1:16" ht="25.5" outlineLevel="5">
      <c r="A143" s="220" t="s">
        <v>617</v>
      </c>
      <c r="B143" s="220" t="s">
        <v>238</v>
      </c>
      <c r="C143" s="220" t="s">
        <v>239</v>
      </c>
      <c r="D143" s="220" t="s">
        <v>1344</v>
      </c>
      <c r="E143" s="220" t="s">
        <v>318</v>
      </c>
      <c r="F143" s="222">
        <v>30</v>
      </c>
      <c r="G143" s="222">
        <v>0</v>
      </c>
      <c r="H143" s="222">
        <v>0</v>
      </c>
      <c r="I143" s="218"/>
      <c r="J143" s="214"/>
      <c r="K143" s="214"/>
      <c r="L143" s="214"/>
      <c r="M143" s="214"/>
      <c r="N143" s="214"/>
      <c r="O143" s="214"/>
      <c r="P143" s="214"/>
    </row>
    <row r="144" spans="1:16" ht="51" outlineLevel="4">
      <c r="A144" s="220" t="s">
        <v>1094</v>
      </c>
      <c r="B144" s="220" t="s">
        <v>238</v>
      </c>
      <c r="C144" s="220" t="s">
        <v>239</v>
      </c>
      <c r="D144" s="220" t="s">
        <v>1096</v>
      </c>
      <c r="E144" s="221"/>
      <c r="F144" s="222">
        <v>7676.0240000000003</v>
      </c>
      <c r="G144" s="222">
        <v>0</v>
      </c>
      <c r="H144" s="222">
        <v>0</v>
      </c>
      <c r="I144" s="218"/>
      <c r="J144" s="214"/>
      <c r="K144" s="214"/>
      <c r="L144" s="214"/>
      <c r="M144" s="214"/>
      <c r="N144" s="214"/>
      <c r="O144" s="214"/>
      <c r="P144" s="214"/>
    </row>
    <row r="145" spans="1:16" ht="38.25" outlineLevel="5">
      <c r="A145" s="220" t="s">
        <v>612</v>
      </c>
      <c r="B145" s="220" t="s">
        <v>238</v>
      </c>
      <c r="C145" s="220" t="s">
        <v>239</v>
      </c>
      <c r="D145" s="220" t="s">
        <v>1096</v>
      </c>
      <c r="E145" s="220" t="s">
        <v>315</v>
      </c>
      <c r="F145" s="222">
        <v>7676.0240000000003</v>
      </c>
      <c r="G145" s="222">
        <v>0</v>
      </c>
      <c r="H145" s="222">
        <v>0</v>
      </c>
      <c r="I145" s="218"/>
      <c r="J145" s="214"/>
      <c r="K145" s="214"/>
      <c r="L145" s="214"/>
      <c r="M145" s="214"/>
      <c r="N145" s="214"/>
      <c r="O145" s="214"/>
      <c r="P145" s="214"/>
    </row>
    <row r="146" spans="1:16" ht="25.5" outlineLevel="1">
      <c r="A146" s="220" t="s">
        <v>650</v>
      </c>
      <c r="B146" s="221"/>
      <c r="C146" s="221"/>
      <c r="D146" s="220" t="s">
        <v>385</v>
      </c>
      <c r="E146" s="221"/>
      <c r="F146" s="222">
        <v>100</v>
      </c>
      <c r="G146" s="222">
        <v>100</v>
      </c>
      <c r="H146" s="222">
        <v>100</v>
      </c>
      <c r="I146" s="218"/>
      <c r="J146" s="214"/>
      <c r="K146" s="214"/>
      <c r="L146" s="214"/>
      <c r="M146" s="214"/>
      <c r="N146" s="214"/>
      <c r="O146" s="214"/>
      <c r="P146" s="214"/>
    </row>
    <row r="147" spans="1:16" ht="63.75" outlineLevel="2">
      <c r="A147" s="220" t="s">
        <v>651</v>
      </c>
      <c r="B147" s="221"/>
      <c r="C147" s="221"/>
      <c r="D147" s="220" t="s">
        <v>386</v>
      </c>
      <c r="E147" s="221"/>
      <c r="F147" s="222">
        <v>100</v>
      </c>
      <c r="G147" s="222">
        <v>100</v>
      </c>
      <c r="H147" s="222">
        <v>100</v>
      </c>
      <c r="I147" s="218"/>
      <c r="J147" s="214"/>
      <c r="K147" s="214"/>
      <c r="L147" s="214"/>
      <c r="M147" s="214"/>
      <c r="N147" s="214"/>
      <c r="O147" s="214"/>
      <c r="P147" s="214"/>
    </row>
    <row r="148" spans="1:16" ht="25.5" outlineLevel="3">
      <c r="A148" s="220" t="s">
        <v>652</v>
      </c>
      <c r="B148" s="220" t="s">
        <v>234</v>
      </c>
      <c r="C148" s="220" t="s">
        <v>235</v>
      </c>
      <c r="D148" s="220" t="s">
        <v>386</v>
      </c>
      <c r="E148" s="221"/>
      <c r="F148" s="222">
        <v>100</v>
      </c>
      <c r="G148" s="222">
        <v>100</v>
      </c>
      <c r="H148" s="222">
        <v>100</v>
      </c>
      <c r="I148" s="218"/>
      <c r="J148" s="214"/>
      <c r="K148" s="214"/>
      <c r="L148" s="214"/>
      <c r="M148" s="214"/>
      <c r="N148" s="214"/>
      <c r="O148" s="214"/>
      <c r="P148" s="214"/>
    </row>
    <row r="149" spans="1:16" ht="38.25" outlineLevel="4">
      <c r="A149" s="220" t="s">
        <v>653</v>
      </c>
      <c r="B149" s="220" t="s">
        <v>234</v>
      </c>
      <c r="C149" s="220" t="s">
        <v>235</v>
      </c>
      <c r="D149" s="220" t="s">
        <v>387</v>
      </c>
      <c r="E149" s="221"/>
      <c r="F149" s="222">
        <v>100</v>
      </c>
      <c r="G149" s="222">
        <v>100</v>
      </c>
      <c r="H149" s="222">
        <v>100</v>
      </c>
      <c r="I149" s="218"/>
      <c r="J149" s="214"/>
      <c r="K149" s="214"/>
      <c r="L149" s="214"/>
      <c r="M149" s="214"/>
      <c r="N149" s="214"/>
      <c r="O149" s="214"/>
      <c r="P149" s="214"/>
    </row>
    <row r="150" spans="1:16" ht="38.25" outlineLevel="5">
      <c r="A150" s="220" t="s">
        <v>616</v>
      </c>
      <c r="B150" s="220" t="s">
        <v>234</v>
      </c>
      <c r="C150" s="220" t="s">
        <v>235</v>
      </c>
      <c r="D150" s="220" t="s">
        <v>387</v>
      </c>
      <c r="E150" s="220" t="s">
        <v>313</v>
      </c>
      <c r="F150" s="222">
        <v>50</v>
      </c>
      <c r="G150" s="222">
        <v>50</v>
      </c>
      <c r="H150" s="222">
        <v>50</v>
      </c>
      <c r="I150" s="218"/>
      <c r="J150" s="214"/>
      <c r="K150" s="214"/>
      <c r="L150" s="214"/>
      <c r="M150" s="214"/>
      <c r="N150" s="214"/>
      <c r="O150" s="214"/>
      <c r="P150" s="214"/>
    </row>
    <row r="151" spans="1:16" ht="38.25" outlineLevel="5">
      <c r="A151" s="220" t="s">
        <v>612</v>
      </c>
      <c r="B151" s="220" t="s">
        <v>234</v>
      </c>
      <c r="C151" s="220" t="s">
        <v>235</v>
      </c>
      <c r="D151" s="220" t="s">
        <v>387</v>
      </c>
      <c r="E151" s="220" t="s">
        <v>315</v>
      </c>
      <c r="F151" s="222">
        <v>50</v>
      </c>
      <c r="G151" s="222">
        <v>50</v>
      </c>
      <c r="H151" s="222">
        <v>50</v>
      </c>
      <c r="I151" s="218"/>
      <c r="J151" s="214"/>
      <c r="K151" s="214"/>
      <c r="L151" s="214"/>
      <c r="M151" s="214"/>
      <c r="N151" s="214"/>
      <c r="O151" s="214"/>
      <c r="P151" s="214"/>
    </row>
    <row r="152" spans="1:16" ht="38.25" outlineLevel="1">
      <c r="A152" s="220" t="s">
        <v>1097</v>
      </c>
      <c r="B152" s="221"/>
      <c r="C152" s="221"/>
      <c r="D152" s="220" t="s">
        <v>1098</v>
      </c>
      <c r="E152" s="221"/>
      <c r="F152" s="222">
        <v>3481.1759999999999</v>
      </c>
      <c r="G152" s="222">
        <v>3481.1759999999999</v>
      </c>
      <c r="H152" s="222">
        <v>3481.1759999999999</v>
      </c>
      <c r="I152" s="218"/>
      <c r="J152" s="214"/>
      <c r="K152" s="214"/>
      <c r="L152" s="214"/>
      <c r="M152" s="214"/>
      <c r="N152" s="214"/>
      <c r="O152" s="214"/>
      <c r="P152" s="214"/>
    </row>
    <row r="153" spans="1:16" ht="51" outlineLevel="2">
      <c r="A153" s="220" t="s">
        <v>1079</v>
      </c>
      <c r="B153" s="221"/>
      <c r="C153" s="221"/>
      <c r="D153" s="220" t="s">
        <v>1099</v>
      </c>
      <c r="E153" s="221"/>
      <c r="F153" s="222">
        <v>3481.1759999999999</v>
      </c>
      <c r="G153" s="222">
        <v>3481.1759999999999</v>
      </c>
      <c r="H153" s="222">
        <v>3481.1759999999999</v>
      </c>
      <c r="I153" s="218"/>
      <c r="J153" s="214"/>
      <c r="K153" s="214"/>
      <c r="L153" s="214"/>
      <c r="M153" s="214"/>
      <c r="N153" s="214"/>
      <c r="O153" s="214"/>
      <c r="P153" s="214"/>
    </row>
    <row r="154" spans="1:16" ht="25.5" outlineLevel="3">
      <c r="A154" s="220" t="s">
        <v>729</v>
      </c>
      <c r="B154" s="220" t="s">
        <v>238</v>
      </c>
      <c r="C154" s="220" t="s">
        <v>234</v>
      </c>
      <c r="D154" s="220" t="s">
        <v>1099</v>
      </c>
      <c r="E154" s="221"/>
      <c r="F154" s="222">
        <v>3481.1759999999999</v>
      </c>
      <c r="G154" s="222">
        <v>3481.1759999999999</v>
      </c>
      <c r="H154" s="222">
        <v>3481.1759999999999</v>
      </c>
      <c r="I154" s="218"/>
      <c r="J154" s="214"/>
      <c r="K154" s="214"/>
      <c r="L154" s="214"/>
      <c r="M154" s="214"/>
      <c r="N154" s="214"/>
      <c r="O154" s="214"/>
      <c r="P154" s="214"/>
    </row>
    <row r="155" spans="1:16" ht="38.25" outlineLevel="4">
      <c r="A155" s="220" t="s">
        <v>1081</v>
      </c>
      <c r="B155" s="220" t="s">
        <v>238</v>
      </c>
      <c r="C155" s="220" t="s">
        <v>234</v>
      </c>
      <c r="D155" s="220" t="s">
        <v>1100</v>
      </c>
      <c r="E155" s="221"/>
      <c r="F155" s="222">
        <v>3451.1759999999999</v>
      </c>
      <c r="G155" s="222">
        <v>3451.1759999999999</v>
      </c>
      <c r="H155" s="222">
        <v>3451.1759999999999</v>
      </c>
      <c r="I155" s="218"/>
      <c r="J155" s="214"/>
      <c r="K155" s="214"/>
      <c r="L155" s="214"/>
      <c r="M155" s="214"/>
      <c r="N155" s="214"/>
      <c r="O155" s="214"/>
      <c r="P155" s="214"/>
    </row>
    <row r="156" spans="1:16" ht="76.5" outlineLevel="5">
      <c r="A156" s="220" t="s">
        <v>621</v>
      </c>
      <c r="B156" s="220" t="s">
        <v>238</v>
      </c>
      <c r="C156" s="220" t="s">
        <v>234</v>
      </c>
      <c r="D156" s="220" t="s">
        <v>1100</v>
      </c>
      <c r="E156" s="220" t="s">
        <v>312</v>
      </c>
      <c r="F156" s="222">
        <v>2982.6689999999999</v>
      </c>
      <c r="G156" s="222">
        <v>2982.6689999999999</v>
      </c>
      <c r="H156" s="222">
        <v>2982.6689999999999</v>
      </c>
      <c r="I156" s="218"/>
      <c r="J156" s="214"/>
      <c r="K156" s="214"/>
      <c r="L156" s="214"/>
      <c r="M156" s="214"/>
      <c r="N156" s="214"/>
      <c r="O156" s="214"/>
      <c r="P156" s="214"/>
    </row>
    <row r="157" spans="1:16" ht="38.25" outlineLevel="5">
      <c r="A157" s="220" t="s">
        <v>616</v>
      </c>
      <c r="B157" s="220" t="s">
        <v>238</v>
      </c>
      <c r="C157" s="220" t="s">
        <v>234</v>
      </c>
      <c r="D157" s="220" t="s">
        <v>1100</v>
      </c>
      <c r="E157" s="220" t="s">
        <v>313</v>
      </c>
      <c r="F157" s="222">
        <v>463.15699999999998</v>
      </c>
      <c r="G157" s="222">
        <v>463.15699999999998</v>
      </c>
      <c r="H157" s="222">
        <v>463.15699999999998</v>
      </c>
      <c r="I157" s="218"/>
      <c r="J157" s="214"/>
      <c r="K157" s="214"/>
      <c r="L157" s="214"/>
      <c r="M157" s="214"/>
      <c r="N157" s="214"/>
      <c r="O157" s="214"/>
      <c r="P157" s="214"/>
    </row>
    <row r="158" spans="1:16" outlineLevel="5">
      <c r="A158" s="220" t="s">
        <v>623</v>
      </c>
      <c r="B158" s="220" t="s">
        <v>238</v>
      </c>
      <c r="C158" s="220" t="s">
        <v>234</v>
      </c>
      <c r="D158" s="220" t="s">
        <v>1100</v>
      </c>
      <c r="E158" s="220" t="s">
        <v>314</v>
      </c>
      <c r="F158" s="222">
        <v>5.35</v>
      </c>
      <c r="G158" s="222">
        <v>5.35</v>
      </c>
      <c r="H158" s="222">
        <v>5.35</v>
      </c>
      <c r="I158" s="218"/>
      <c r="J158" s="214"/>
      <c r="K158" s="214"/>
      <c r="L158" s="214"/>
      <c r="M158" s="214"/>
      <c r="N158" s="214"/>
      <c r="O158" s="214"/>
      <c r="P158" s="214"/>
    </row>
    <row r="159" spans="1:16" ht="63.75" outlineLevel="4">
      <c r="A159" s="220" t="s">
        <v>1083</v>
      </c>
      <c r="B159" s="220" t="s">
        <v>238</v>
      </c>
      <c r="C159" s="220" t="s">
        <v>234</v>
      </c>
      <c r="D159" s="220" t="s">
        <v>1101</v>
      </c>
      <c r="E159" s="221"/>
      <c r="F159" s="222">
        <v>30</v>
      </c>
      <c r="G159" s="222">
        <v>30</v>
      </c>
      <c r="H159" s="222">
        <v>30</v>
      </c>
      <c r="I159" s="218"/>
      <c r="J159" s="214"/>
      <c r="K159" s="214"/>
      <c r="L159" s="214"/>
      <c r="M159" s="214"/>
      <c r="N159" s="214"/>
      <c r="O159" s="214"/>
      <c r="P159" s="214"/>
    </row>
    <row r="160" spans="1:16" ht="38.25" outlineLevel="5">
      <c r="A160" s="220" t="s">
        <v>616</v>
      </c>
      <c r="B160" s="220" t="s">
        <v>238</v>
      </c>
      <c r="C160" s="220" t="s">
        <v>234</v>
      </c>
      <c r="D160" s="220" t="s">
        <v>1101</v>
      </c>
      <c r="E160" s="220" t="s">
        <v>313</v>
      </c>
      <c r="F160" s="222">
        <v>30</v>
      </c>
      <c r="G160" s="222">
        <v>30</v>
      </c>
      <c r="H160" s="222">
        <v>30</v>
      </c>
      <c r="I160" s="218"/>
      <c r="J160" s="214"/>
      <c r="K160" s="214"/>
      <c r="L160" s="214"/>
      <c r="M160" s="214"/>
      <c r="N160" s="214"/>
      <c r="O160" s="214"/>
      <c r="P160" s="214"/>
    </row>
    <row r="161" spans="1:16" ht="38.25">
      <c r="A161" s="220" t="s">
        <v>492</v>
      </c>
      <c r="B161" s="221"/>
      <c r="C161" s="221"/>
      <c r="D161" s="220" t="s">
        <v>388</v>
      </c>
      <c r="E161" s="221"/>
      <c r="F161" s="222">
        <v>14847.724200000001</v>
      </c>
      <c r="G161" s="222">
        <v>13770.25</v>
      </c>
      <c r="H161" s="222">
        <v>13770.25</v>
      </c>
      <c r="I161" s="218"/>
      <c r="J161" s="214"/>
      <c r="K161" s="214"/>
      <c r="L161" s="214"/>
      <c r="M161" s="214"/>
      <c r="N161" s="214"/>
      <c r="O161" s="214"/>
      <c r="P161" s="214"/>
    </row>
    <row r="162" spans="1:16" ht="25.5" outlineLevel="1">
      <c r="A162" s="220" t="s">
        <v>966</v>
      </c>
      <c r="B162" s="221"/>
      <c r="C162" s="221"/>
      <c r="D162" s="220" t="s">
        <v>389</v>
      </c>
      <c r="E162" s="221"/>
      <c r="F162" s="222">
        <v>1487.1</v>
      </c>
      <c r="G162" s="222">
        <v>447.1</v>
      </c>
      <c r="H162" s="222">
        <v>447.1</v>
      </c>
      <c r="I162" s="218"/>
      <c r="J162" s="214"/>
      <c r="K162" s="214"/>
      <c r="L162" s="214"/>
      <c r="M162" s="214"/>
      <c r="N162" s="214"/>
      <c r="O162" s="214"/>
      <c r="P162" s="214"/>
    </row>
    <row r="163" spans="1:16" ht="38.25" outlineLevel="2">
      <c r="A163" s="220" t="s">
        <v>1102</v>
      </c>
      <c r="B163" s="221"/>
      <c r="C163" s="221"/>
      <c r="D163" s="220" t="s">
        <v>390</v>
      </c>
      <c r="E163" s="221"/>
      <c r="F163" s="222">
        <v>267.10000000000002</v>
      </c>
      <c r="G163" s="222">
        <v>267.10000000000002</v>
      </c>
      <c r="H163" s="222">
        <v>267.10000000000002</v>
      </c>
      <c r="I163" s="218"/>
      <c r="J163" s="214"/>
      <c r="K163" s="214"/>
      <c r="L163" s="214"/>
      <c r="M163" s="214"/>
      <c r="N163" s="214"/>
      <c r="O163" s="214"/>
      <c r="P163" s="214"/>
    </row>
    <row r="164" spans="1:16" outlineLevel="3">
      <c r="A164" s="220" t="s">
        <v>654</v>
      </c>
      <c r="B164" s="220" t="s">
        <v>5</v>
      </c>
      <c r="C164" s="220" t="s">
        <v>237</v>
      </c>
      <c r="D164" s="220" t="s">
        <v>390</v>
      </c>
      <c r="E164" s="221"/>
      <c r="F164" s="222">
        <v>267.10000000000002</v>
      </c>
      <c r="G164" s="222">
        <v>267.10000000000002</v>
      </c>
      <c r="H164" s="222">
        <v>267.10000000000002</v>
      </c>
      <c r="I164" s="218"/>
      <c r="J164" s="214"/>
      <c r="K164" s="214"/>
      <c r="L164" s="214"/>
      <c r="M164" s="214"/>
      <c r="N164" s="214"/>
      <c r="O164" s="214"/>
      <c r="P164" s="214"/>
    </row>
    <row r="165" spans="1:16" ht="63.75" outlineLevel="4">
      <c r="A165" s="220" t="s">
        <v>655</v>
      </c>
      <c r="B165" s="220" t="s">
        <v>5</v>
      </c>
      <c r="C165" s="220" t="s">
        <v>237</v>
      </c>
      <c r="D165" s="220" t="s">
        <v>529</v>
      </c>
      <c r="E165" s="221"/>
      <c r="F165" s="222">
        <v>267.10000000000002</v>
      </c>
      <c r="G165" s="222">
        <v>267.10000000000002</v>
      </c>
      <c r="H165" s="222">
        <v>267.10000000000002</v>
      </c>
      <c r="I165" s="218"/>
      <c r="J165" s="214"/>
      <c r="K165" s="214"/>
      <c r="L165" s="214"/>
      <c r="M165" s="214"/>
      <c r="N165" s="214"/>
      <c r="O165" s="214"/>
      <c r="P165" s="214"/>
    </row>
    <row r="166" spans="1:16" ht="38.25" outlineLevel="5">
      <c r="A166" s="220" t="s">
        <v>612</v>
      </c>
      <c r="B166" s="220" t="s">
        <v>5</v>
      </c>
      <c r="C166" s="220" t="s">
        <v>237</v>
      </c>
      <c r="D166" s="220" t="s">
        <v>529</v>
      </c>
      <c r="E166" s="220" t="s">
        <v>315</v>
      </c>
      <c r="F166" s="222">
        <v>267.10000000000002</v>
      </c>
      <c r="G166" s="222">
        <v>267.10000000000002</v>
      </c>
      <c r="H166" s="222">
        <v>267.10000000000002</v>
      </c>
      <c r="I166" s="218"/>
      <c r="J166" s="214"/>
      <c r="K166" s="214"/>
      <c r="L166" s="214"/>
      <c r="M166" s="214"/>
      <c r="N166" s="214"/>
      <c r="O166" s="214"/>
      <c r="P166" s="214"/>
    </row>
    <row r="167" spans="1:16" ht="51" outlineLevel="2">
      <c r="A167" s="220" t="s">
        <v>1345</v>
      </c>
      <c r="B167" s="221"/>
      <c r="C167" s="221"/>
      <c r="D167" s="220" t="s">
        <v>1346</v>
      </c>
      <c r="E167" s="221"/>
      <c r="F167" s="222">
        <v>890</v>
      </c>
      <c r="G167" s="222">
        <v>0</v>
      </c>
      <c r="H167" s="222">
        <v>0</v>
      </c>
      <c r="I167" s="218"/>
      <c r="J167" s="214"/>
      <c r="K167" s="214"/>
      <c r="L167" s="214"/>
      <c r="M167" s="214"/>
      <c r="N167" s="214"/>
      <c r="O167" s="214"/>
      <c r="P167" s="214"/>
    </row>
    <row r="168" spans="1:16" outlineLevel="3">
      <c r="A168" s="220" t="s">
        <v>654</v>
      </c>
      <c r="B168" s="220" t="s">
        <v>5</v>
      </c>
      <c r="C168" s="220" t="s">
        <v>237</v>
      </c>
      <c r="D168" s="220" t="s">
        <v>1346</v>
      </c>
      <c r="E168" s="221"/>
      <c r="F168" s="222">
        <v>890</v>
      </c>
      <c r="G168" s="222">
        <v>0</v>
      </c>
      <c r="H168" s="222">
        <v>0</v>
      </c>
      <c r="I168" s="218"/>
      <c r="J168" s="214"/>
      <c r="K168" s="214"/>
      <c r="L168" s="214"/>
      <c r="M168" s="214"/>
      <c r="N168" s="214"/>
      <c r="O168" s="214"/>
      <c r="P168" s="214"/>
    </row>
    <row r="169" spans="1:16" ht="51" outlineLevel="4">
      <c r="A169" s="220" t="s">
        <v>1347</v>
      </c>
      <c r="B169" s="220" t="s">
        <v>5</v>
      </c>
      <c r="C169" s="220" t="s">
        <v>237</v>
      </c>
      <c r="D169" s="220" t="s">
        <v>1348</v>
      </c>
      <c r="E169" s="221"/>
      <c r="F169" s="222">
        <v>890</v>
      </c>
      <c r="G169" s="222">
        <v>0</v>
      </c>
      <c r="H169" s="222">
        <v>0</v>
      </c>
      <c r="I169" s="218"/>
      <c r="J169" s="214"/>
      <c r="K169" s="214"/>
      <c r="L169" s="214"/>
      <c r="M169" s="214"/>
      <c r="N169" s="214"/>
      <c r="O169" s="214"/>
      <c r="P169" s="214"/>
    </row>
    <row r="170" spans="1:16" ht="38.25" outlineLevel="5">
      <c r="A170" s="220" t="s">
        <v>616</v>
      </c>
      <c r="B170" s="220" t="s">
        <v>5</v>
      </c>
      <c r="C170" s="220" t="s">
        <v>237</v>
      </c>
      <c r="D170" s="220" t="s">
        <v>1348</v>
      </c>
      <c r="E170" s="220" t="s">
        <v>313</v>
      </c>
      <c r="F170" s="222">
        <v>890</v>
      </c>
      <c r="G170" s="222">
        <v>0</v>
      </c>
      <c r="H170" s="222">
        <v>0</v>
      </c>
      <c r="I170" s="218"/>
      <c r="J170" s="214"/>
      <c r="K170" s="214"/>
      <c r="L170" s="214"/>
      <c r="M170" s="214"/>
      <c r="N170" s="214"/>
      <c r="O170" s="214"/>
      <c r="P170" s="214"/>
    </row>
    <row r="171" spans="1:16" ht="51" outlineLevel="2">
      <c r="A171" s="220" t="s">
        <v>1103</v>
      </c>
      <c r="B171" s="221"/>
      <c r="C171" s="221"/>
      <c r="D171" s="220" t="s">
        <v>1104</v>
      </c>
      <c r="E171" s="221"/>
      <c r="F171" s="222">
        <v>330</v>
      </c>
      <c r="G171" s="222">
        <v>180</v>
      </c>
      <c r="H171" s="222">
        <v>180</v>
      </c>
      <c r="I171" s="218"/>
      <c r="J171" s="214"/>
      <c r="K171" s="214"/>
      <c r="L171" s="214"/>
      <c r="M171" s="214"/>
      <c r="N171" s="214"/>
      <c r="O171" s="214"/>
      <c r="P171" s="214"/>
    </row>
    <row r="172" spans="1:16" outlineLevel="3">
      <c r="A172" s="220" t="s">
        <v>654</v>
      </c>
      <c r="B172" s="220" t="s">
        <v>5</v>
      </c>
      <c r="C172" s="220" t="s">
        <v>237</v>
      </c>
      <c r="D172" s="220" t="s">
        <v>1104</v>
      </c>
      <c r="E172" s="221"/>
      <c r="F172" s="222">
        <v>330</v>
      </c>
      <c r="G172" s="222">
        <v>180</v>
      </c>
      <c r="H172" s="222">
        <v>180</v>
      </c>
      <c r="I172" s="218"/>
      <c r="J172" s="214"/>
      <c r="K172" s="214"/>
      <c r="L172" s="214"/>
      <c r="M172" s="214"/>
      <c r="N172" s="214"/>
      <c r="O172" s="214"/>
      <c r="P172" s="214"/>
    </row>
    <row r="173" spans="1:16" ht="38.25" outlineLevel="4">
      <c r="A173" s="220" t="s">
        <v>656</v>
      </c>
      <c r="B173" s="220" t="s">
        <v>5</v>
      </c>
      <c r="C173" s="220" t="s">
        <v>237</v>
      </c>
      <c r="D173" s="220" t="s">
        <v>1105</v>
      </c>
      <c r="E173" s="221"/>
      <c r="F173" s="222">
        <v>300</v>
      </c>
      <c r="G173" s="222">
        <v>150</v>
      </c>
      <c r="H173" s="222">
        <v>150</v>
      </c>
      <c r="I173" s="218"/>
      <c r="J173" s="214"/>
      <c r="K173" s="214"/>
      <c r="L173" s="214"/>
      <c r="M173" s="214"/>
      <c r="N173" s="214"/>
      <c r="O173" s="214"/>
      <c r="P173" s="214"/>
    </row>
    <row r="174" spans="1:16" ht="38.25" outlineLevel="5">
      <c r="A174" s="220" t="s">
        <v>616</v>
      </c>
      <c r="B174" s="220" t="s">
        <v>5</v>
      </c>
      <c r="C174" s="220" t="s">
        <v>237</v>
      </c>
      <c r="D174" s="220" t="s">
        <v>1105</v>
      </c>
      <c r="E174" s="220" t="s">
        <v>313</v>
      </c>
      <c r="F174" s="222">
        <v>150</v>
      </c>
      <c r="G174" s="222">
        <v>75</v>
      </c>
      <c r="H174" s="222">
        <v>75</v>
      </c>
      <c r="I174" s="218"/>
      <c r="J174" s="214"/>
      <c r="K174" s="214"/>
      <c r="L174" s="214"/>
      <c r="M174" s="214"/>
      <c r="N174" s="214"/>
      <c r="O174" s="214"/>
      <c r="P174" s="214"/>
    </row>
    <row r="175" spans="1:16" ht="38.25" outlineLevel="5">
      <c r="A175" s="220" t="s">
        <v>612</v>
      </c>
      <c r="B175" s="220" t="s">
        <v>5</v>
      </c>
      <c r="C175" s="220" t="s">
        <v>237</v>
      </c>
      <c r="D175" s="220" t="s">
        <v>1105</v>
      </c>
      <c r="E175" s="220" t="s">
        <v>315</v>
      </c>
      <c r="F175" s="222">
        <v>150</v>
      </c>
      <c r="G175" s="222">
        <v>75</v>
      </c>
      <c r="H175" s="222">
        <v>75</v>
      </c>
      <c r="I175" s="218"/>
      <c r="J175" s="214"/>
      <c r="K175" s="214"/>
      <c r="L175" s="214"/>
      <c r="M175" s="214"/>
      <c r="N175" s="214"/>
      <c r="O175" s="214"/>
      <c r="P175" s="214"/>
    </row>
    <row r="176" spans="1:16" ht="38.25" outlineLevel="4">
      <c r="A176" s="220" t="s">
        <v>657</v>
      </c>
      <c r="B176" s="220" t="s">
        <v>5</v>
      </c>
      <c r="C176" s="220" t="s">
        <v>237</v>
      </c>
      <c r="D176" s="220" t="s">
        <v>1106</v>
      </c>
      <c r="E176" s="221"/>
      <c r="F176" s="222">
        <v>30</v>
      </c>
      <c r="G176" s="222">
        <v>30</v>
      </c>
      <c r="H176" s="222">
        <v>30</v>
      </c>
      <c r="I176" s="218"/>
      <c r="J176" s="214"/>
      <c r="K176" s="214"/>
      <c r="L176" s="214"/>
      <c r="M176" s="214"/>
      <c r="N176" s="214"/>
      <c r="O176" s="214"/>
      <c r="P176" s="214"/>
    </row>
    <row r="177" spans="1:16" ht="38.25" outlineLevel="5">
      <c r="A177" s="220" t="s">
        <v>616</v>
      </c>
      <c r="B177" s="220" t="s">
        <v>5</v>
      </c>
      <c r="C177" s="220" t="s">
        <v>237</v>
      </c>
      <c r="D177" s="220" t="s">
        <v>1106</v>
      </c>
      <c r="E177" s="220" t="s">
        <v>313</v>
      </c>
      <c r="F177" s="222">
        <v>30</v>
      </c>
      <c r="G177" s="222">
        <v>30</v>
      </c>
      <c r="H177" s="222">
        <v>30</v>
      </c>
      <c r="I177" s="218"/>
      <c r="J177" s="214"/>
      <c r="K177" s="214"/>
      <c r="L177" s="214"/>
      <c r="M177" s="214"/>
      <c r="N177" s="214"/>
      <c r="O177" s="214"/>
      <c r="P177" s="214"/>
    </row>
    <row r="178" spans="1:16" ht="25.5" outlineLevel="1">
      <c r="A178" s="220" t="s">
        <v>1107</v>
      </c>
      <c r="B178" s="221"/>
      <c r="C178" s="221"/>
      <c r="D178" s="220" t="s">
        <v>391</v>
      </c>
      <c r="E178" s="221"/>
      <c r="F178" s="222">
        <v>10499.5002</v>
      </c>
      <c r="G178" s="222">
        <v>10462.026</v>
      </c>
      <c r="H178" s="222">
        <v>10462.026</v>
      </c>
      <c r="I178" s="218"/>
      <c r="J178" s="214"/>
      <c r="K178" s="214"/>
      <c r="L178" s="214"/>
      <c r="M178" s="214"/>
      <c r="N178" s="214"/>
      <c r="O178" s="214"/>
      <c r="P178" s="214"/>
    </row>
    <row r="179" spans="1:16" ht="63.75" outlineLevel="2">
      <c r="A179" s="220" t="s">
        <v>1108</v>
      </c>
      <c r="B179" s="221"/>
      <c r="C179" s="221"/>
      <c r="D179" s="220" t="s">
        <v>392</v>
      </c>
      <c r="E179" s="221"/>
      <c r="F179" s="222">
        <v>10499.5002</v>
      </c>
      <c r="G179" s="222">
        <v>10462.026</v>
      </c>
      <c r="H179" s="222">
        <v>10462.026</v>
      </c>
      <c r="I179" s="218"/>
      <c r="J179" s="214"/>
      <c r="K179" s="214"/>
      <c r="L179" s="214"/>
      <c r="M179" s="214"/>
      <c r="N179" s="214"/>
      <c r="O179" s="214"/>
      <c r="P179" s="214"/>
    </row>
    <row r="180" spans="1:16" outlineLevel="3">
      <c r="A180" s="220" t="s">
        <v>654</v>
      </c>
      <c r="B180" s="220" t="s">
        <v>5</v>
      </c>
      <c r="C180" s="220" t="s">
        <v>237</v>
      </c>
      <c r="D180" s="220" t="s">
        <v>392</v>
      </c>
      <c r="E180" s="221"/>
      <c r="F180" s="222">
        <v>10499.5002</v>
      </c>
      <c r="G180" s="222">
        <v>10462.026</v>
      </c>
      <c r="H180" s="222">
        <v>10462.026</v>
      </c>
      <c r="I180" s="218"/>
      <c r="J180" s="214"/>
      <c r="K180" s="214"/>
      <c r="L180" s="214"/>
      <c r="M180" s="214"/>
      <c r="N180" s="214"/>
      <c r="O180" s="214"/>
      <c r="P180" s="214"/>
    </row>
    <row r="181" spans="1:16" ht="25.5" outlineLevel="4">
      <c r="A181" s="220" t="s">
        <v>957</v>
      </c>
      <c r="B181" s="220" t="s">
        <v>5</v>
      </c>
      <c r="C181" s="220" t="s">
        <v>237</v>
      </c>
      <c r="D181" s="220" t="s">
        <v>1109</v>
      </c>
      <c r="E181" s="221"/>
      <c r="F181" s="222">
        <v>1030</v>
      </c>
      <c r="G181" s="222">
        <v>1030</v>
      </c>
      <c r="H181" s="222">
        <v>1030</v>
      </c>
      <c r="I181" s="218"/>
      <c r="J181" s="214"/>
      <c r="K181" s="214"/>
      <c r="L181" s="214"/>
      <c r="M181" s="214"/>
      <c r="N181" s="214"/>
      <c r="O181" s="214"/>
      <c r="P181" s="214"/>
    </row>
    <row r="182" spans="1:16" ht="38.25" outlineLevel="5">
      <c r="A182" s="220" t="s">
        <v>612</v>
      </c>
      <c r="B182" s="220" t="s">
        <v>5</v>
      </c>
      <c r="C182" s="220" t="s">
        <v>237</v>
      </c>
      <c r="D182" s="220" t="s">
        <v>1109</v>
      </c>
      <c r="E182" s="220" t="s">
        <v>315</v>
      </c>
      <c r="F182" s="222">
        <v>1030</v>
      </c>
      <c r="G182" s="222">
        <v>1030</v>
      </c>
      <c r="H182" s="222">
        <v>1030</v>
      </c>
      <c r="I182" s="218"/>
      <c r="J182" s="214"/>
      <c r="K182" s="214"/>
      <c r="L182" s="214"/>
      <c r="M182" s="214"/>
      <c r="N182" s="214"/>
      <c r="O182" s="214"/>
      <c r="P182" s="214"/>
    </row>
    <row r="183" spans="1:16" ht="25.5" outlineLevel="4">
      <c r="A183" s="220" t="s">
        <v>1341</v>
      </c>
      <c r="B183" s="220" t="s">
        <v>5</v>
      </c>
      <c r="C183" s="220" t="s">
        <v>237</v>
      </c>
      <c r="D183" s="220" t="s">
        <v>1349</v>
      </c>
      <c r="E183" s="221"/>
      <c r="F183" s="222">
        <v>106</v>
      </c>
      <c r="G183" s="222">
        <v>0</v>
      </c>
      <c r="H183" s="222">
        <v>0</v>
      </c>
      <c r="I183" s="218"/>
      <c r="J183" s="214"/>
      <c r="K183" s="214"/>
      <c r="L183" s="214"/>
      <c r="M183" s="214"/>
      <c r="N183" s="214"/>
      <c r="O183" s="214"/>
      <c r="P183" s="214"/>
    </row>
    <row r="184" spans="1:16" ht="38.25" outlineLevel="5">
      <c r="A184" s="220" t="s">
        <v>612</v>
      </c>
      <c r="B184" s="220" t="s">
        <v>5</v>
      </c>
      <c r="C184" s="220" t="s">
        <v>237</v>
      </c>
      <c r="D184" s="220" t="s">
        <v>1349</v>
      </c>
      <c r="E184" s="220" t="s">
        <v>315</v>
      </c>
      <c r="F184" s="222">
        <v>106</v>
      </c>
      <c r="G184" s="222">
        <v>0</v>
      </c>
      <c r="H184" s="222">
        <v>0</v>
      </c>
      <c r="I184" s="218"/>
      <c r="J184" s="214"/>
      <c r="K184" s="214"/>
      <c r="L184" s="214"/>
      <c r="M184" s="214"/>
      <c r="N184" s="214"/>
      <c r="O184" s="214"/>
      <c r="P184" s="214"/>
    </row>
    <row r="185" spans="1:16" ht="25.5" outlineLevel="4">
      <c r="A185" s="220" t="s">
        <v>1110</v>
      </c>
      <c r="B185" s="220" t="s">
        <v>5</v>
      </c>
      <c r="C185" s="220" t="s">
        <v>237</v>
      </c>
      <c r="D185" s="220" t="s">
        <v>975</v>
      </c>
      <c r="E185" s="221"/>
      <c r="F185" s="222">
        <v>9363.5002000000004</v>
      </c>
      <c r="G185" s="222">
        <v>9432.0259999999998</v>
      </c>
      <c r="H185" s="222">
        <v>9432.0259999999998</v>
      </c>
      <c r="I185" s="218"/>
      <c r="J185" s="214"/>
      <c r="K185" s="214"/>
      <c r="L185" s="214"/>
      <c r="M185" s="214"/>
      <c r="N185" s="214"/>
      <c r="O185" s="214"/>
      <c r="P185" s="214"/>
    </row>
    <row r="186" spans="1:16" ht="38.25" outlineLevel="5">
      <c r="A186" s="220" t="s">
        <v>612</v>
      </c>
      <c r="B186" s="220" t="s">
        <v>5</v>
      </c>
      <c r="C186" s="220" t="s">
        <v>237</v>
      </c>
      <c r="D186" s="220" t="s">
        <v>975</v>
      </c>
      <c r="E186" s="220" t="s">
        <v>315</v>
      </c>
      <c r="F186" s="222">
        <v>9363.5002000000004</v>
      </c>
      <c r="G186" s="222">
        <v>9432.0259999999998</v>
      </c>
      <c r="H186" s="222">
        <v>9432.0259999999998</v>
      </c>
      <c r="I186" s="218"/>
      <c r="J186" s="214"/>
      <c r="K186" s="214"/>
      <c r="L186" s="214"/>
      <c r="M186" s="214"/>
      <c r="N186" s="214"/>
      <c r="O186" s="214"/>
      <c r="P186" s="214"/>
    </row>
    <row r="187" spans="1:16" ht="38.25" outlineLevel="1">
      <c r="A187" s="220" t="s">
        <v>1097</v>
      </c>
      <c r="B187" s="221"/>
      <c r="C187" s="221"/>
      <c r="D187" s="220" t="s">
        <v>1111</v>
      </c>
      <c r="E187" s="221"/>
      <c r="F187" s="222">
        <v>2861.1239999999998</v>
      </c>
      <c r="G187" s="222">
        <v>2861.1239999999998</v>
      </c>
      <c r="H187" s="222">
        <v>2861.1239999999998</v>
      </c>
      <c r="I187" s="218"/>
      <c r="J187" s="214"/>
      <c r="K187" s="214"/>
      <c r="L187" s="214"/>
      <c r="M187" s="214"/>
      <c r="N187" s="214"/>
      <c r="O187" s="214"/>
      <c r="P187" s="214"/>
    </row>
    <row r="188" spans="1:16" ht="51" outlineLevel="2">
      <c r="A188" s="220" t="s">
        <v>1079</v>
      </c>
      <c r="B188" s="221"/>
      <c r="C188" s="221"/>
      <c r="D188" s="220" t="s">
        <v>1112</v>
      </c>
      <c r="E188" s="221"/>
      <c r="F188" s="222">
        <v>2861.1239999999998</v>
      </c>
      <c r="G188" s="222">
        <v>2861.1239999999998</v>
      </c>
      <c r="H188" s="222">
        <v>2861.1239999999998</v>
      </c>
      <c r="I188" s="218"/>
      <c r="J188" s="214"/>
      <c r="K188" s="214"/>
      <c r="L188" s="214"/>
      <c r="M188" s="214"/>
      <c r="N188" s="214"/>
      <c r="O188" s="214"/>
      <c r="P188" s="214"/>
    </row>
    <row r="189" spans="1:16" ht="25.5" outlineLevel="3">
      <c r="A189" s="220" t="s">
        <v>730</v>
      </c>
      <c r="B189" s="220" t="s">
        <v>5</v>
      </c>
      <c r="C189" s="220" t="s">
        <v>4</v>
      </c>
      <c r="D189" s="220" t="s">
        <v>1112</v>
      </c>
      <c r="E189" s="221"/>
      <c r="F189" s="222">
        <v>2861.1239999999998</v>
      </c>
      <c r="G189" s="222">
        <v>2861.1239999999998</v>
      </c>
      <c r="H189" s="222">
        <v>2861.1239999999998</v>
      </c>
      <c r="I189" s="218"/>
      <c r="J189" s="214"/>
      <c r="K189" s="214"/>
      <c r="L189" s="214"/>
      <c r="M189" s="214"/>
      <c r="N189" s="214"/>
      <c r="O189" s="214"/>
      <c r="P189" s="214"/>
    </row>
    <row r="190" spans="1:16" ht="38.25" outlineLevel="4">
      <c r="A190" s="220" t="s">
        <v>1081</v>
      </c>
      <c r="B190" s="220" t="s">
        <v>5</v>
      </c>
      <c r="C190" s="220" t="s">
        <v>4</v>
      </c>
      <c r="D190" s="220" t="s">
        <v>1113</v>
      </c>
      <c r="E190" s="221"/>
      <c r="F190" s="222">
        <v>2844.1239999999998</v>
      </c>
      <c r="G190" s="222">
        <v>2844.1239999999998</v>
      </c>
      <c r="H190" s="222">
        <v>2844.1239999999998</v>
      </c>
      <c r="I190" s="218"/>
      <c r="J190" s="214"/>
      <c r="K190" s="214"/>
      <c r="L190" s="214"/>
      <c r="M190" s="214"/>
      <c r="N190" s="214"/>
      <c r="O190" s="214"/>
      <c r="P190" s="214"/>
    </row>
    <row r="191" spans="1:16" ht="76.5" outlineLevel="5">
      <c r="A191" s="220" t="s">
        <v>621</v>
      </c>
      <c r="B191" s="220" t="s">
        <v>5</v>
      </c>
      <c r="C191" s="220" t="s">
        <v>4</v>
      </c>
      <c r="D191" s="220" t="s">
        <v>1113</v>
      </c>
      <c r="E191" s="220" t="s">
        <v>312</v>
      </c>
      <c r="F191" s="222">
        <v>2368.3470000000002</v>
      </c>
      <c r="G191" s="222">
        <v>2368.3470000000002</v>
      </c>
      <c r="H191" s="222">
        <v>2368.3470000000002</v>
      </c>
      <c r="I191" s="218"/>
      <c r="J191" s="214"/>
      <c r="K191" s="214"/>
      <c r="L191" s="214"/>
      <c r="M191" s="214"/>
      <c r="N191" s="214"/>
      <c r="O191" s="214"/>
      <c r="P191" s="214"/>
    </row>
    <row r="192" spans="1:16" ht="38.25" outlineLevel="5">
      <c r="A192" s="220" t="s">
        <v>616</v>
      </c>
      <c r="B192" s="220" t="s">
        <v>5</v>
      </c>
      <c r="C192" s="220" t="s">
        <v>4</v>
      </c>
      <c r="D192" s="220" t="s">
        <v>1113</v>
      </c>
      <c r="E192" s="220" t="s">
        <v>313</v>
      </c>
      <c r="F192" s="222">
        <v>473.27699999999999</v>
      </c>
      <c r="G192" s="222">
        <v>473.27699999999999</v>
      </c>
      <c r="H192" s="222">
        <v>473.27699999999999</v>
      </c>
      <c r="I192" s="218"/>
      <c r="J192" s="214"/>
      <c r="K192" s="214"/>
      <c r="L192" s="214"/>
      <c r="M192" s="214"/>
      <c r="N192" s="214"/>
      <c r="O192" s="214"/>
      <c r="P192" s="214"/>
    </row>
    <row r="193" spans="1:16" outlineLevel="5">
      <c r="A193" s="220" t="s">
        <v>623</v>
      </c>
      <c r="B193" s="220" t="s">
        <v>5</v>
      </c>
      <c r="C193" s="220" t="s">
        <v>4</v>
      </c>
      <c r="D193" s="220" t="s">
        <v>1113</v>
      </c>
      <c r="E193" s="220" t="s">
        <v>314</v>
      </c>
      <c r="F193" s="222">
        <v>2.5</v>
      </c>
      <c r="G193" s="222">
        <v>2.5</v>
      </c>
      <c r="H193" s="222">
        <v>2.5</v>
      </c>
      <c r="I193" s="218"/>
      <c r="J193" s="214"/>
      <c r="K193" s="214"/>
      <c r="L193" s="214"/>
      <c r="M193" s="214"/>
      <c r="N193" s="214"/>
      <c r="O193" s="214"/>
      <c r="P193" s="214"/>
    </row>
    <row r="194" spans="1:16" ht="63.75" outlineLevel="4">
      <c r="A194" s="220" t="s">
        <v>1083</v>
      </c>
      <c r="B194" s="220" t="s">
        <v>5</v>
      </c>
      <c r="C194" s="220" t="s">
        <v>4</v>
      </c>
      <c r="D194" s="220" t="s">
        <v>1114</v>
      </c>
      <c r="E194" s="221"/>
      <c r="F194" s="222">
        <v>17</v>
      </c>
      <c r="G194" s="222">
        <v>17</v>
      </c>
      <c r="H194" s="222">
        <v>17</v>
      </c>
      <c r="I194" s="218"/>
      <c r="J194" s="214"/>
      <c r="K194" s="214"/>
      <c r="L194" s="214"/>
      <c r="M194" s="214"/>
      <c r="N194" s="214"/>
      <c r="O194" s="214"/>
      <c r="P194" s="214"/>
    </row>
    <row r="195" spans="1:16" ht="38.25" outlineLevel="5">
      <c r="A195" s="220" t="s">
        <v>616</v>
      </c>
      <c r="B195" s="220" t="s">
        <v>5</v>
      </c>
      <c r="C195" s="220" t="s">
        <v>4</v>
      </c>
      <c r="D195" s="220" t="s">
        <v>1114</v>
      </c>
      <c r="E195" s="220" t="s">
        <v>313</v>
      </c>
      <c r="F195" s="222">
        <v>17</v>
      </c>
      <c r="G195" s="222">
        <v>17</v>
      </c>
      <c r="H195" s="222">
        <v>17</v>
      </c>
      <c r="I195" s="218"/>
      <c r="J195" s="214"/>
      <c r="K195" s="214"/>
      <c r="L195" s="214"/>
      <c r="M195" s="214"/>
      <c r="N195" s="214"/>
      <c r="O195" s="214"/>
      <c r="P195" s="214"/>
    </row>
    <row r="196" spans="1:16" ht="51">
      <c r="A196" s="220" t="s">
        <v>1115</v>
      </c>
      <c r="B196" s="221"/>
      <c r="C196" s="221"/>
      <c r="D196" s="220" t="s">
        <v>393</v>
      </c>
      <c r="E196" s="221"/>
      <c r="F196" s="222">
        <v>10244.620999999999</v>
      </c>
      <c r="G196" s="222">
        <v>9965.9959999999992</v>
      </c>
      <c r="H196" s="222">
        <v>9965.9959999999992</v>
      </c>
      <c r="I196" s="218"/>
      <c r="J196" s="214"/>
      <c r="K196" s="214"/>
      <c r="L196" s="214"/>
      <c r="M196" s="214"/>
      <c r="N196" s="214"/>
      <c r="O196" s="214"/>
      <c r="P196" s="214"/>
    </row>
    <row r="197" spans="1:16" ht="38.25" outlineLevel="1">
      <c r="A197" s="220" t="s">
        <v>1116</v>
      </c>
      <c r="B197" s="221"/>
      <c r="C197" s="221"/>
      <c r="D197" s="220" t="s">
        <v>394</v>
      </c>
      <c r="E197" s="221"/>
      <c r="F197" s="222">
        <v>409.2</v>
      </c>
      <c r="G197" s="222">
        <v>402</v>
      </c>
      <c r="H197" s="222">
        <v>402</v>
      </c>
      <c r="I197" s="218"/>
      <c r="J197" s="214"/>
      <c r="K197" s="214"/>
      <c r="L197" s="214"/>
      <c r="M197" s="214"/>
      <c r="N197" s="214"/>
      <c r="O197" s="214"/>
      <c r="P197" s="214"/>
    </row>
    <row r="198" spans="1:16" ht="38.25" outlineLevel="2">
      <c r="A198" s="220" t="s">
        <v>1117</v>
      </c>
      <c r="B198" s="221"/>
      <c r="C198" s="221"/>
      <c r="D198" s="220" t="s">
        <v>395</v>
      </c>
      <c r="E198" s="221"/>
      <c r="F198" s="222">
        <v>309.2</v>
      </c>
      <c r="G198" s="222">
        <v>302</v>
      </c>
      <c r="H198" s="222">
        <v>302</v>
      </c>
      <c r="I198" s="218"/>
      <c r="J198" s="214"/>
      <c r="K198" s="214"/>
      <c r="L198" s="214"/>
      <c r="M198" s="214"/>
      <c r="N198" s="214"/>
      <c r="O198" s="214"/>
      <c r="P198" s="214"/>
    </row>
    <row r="199" spans="1:16" outlineLevel="3">
      <c r="A199" s="220" t="s">
        <v>633</v>
      </c>
      <c r="B199" s="220" t="s">
        <v>236</v>
      </c>
      <c r="C199" s="220" t="s">
        <v>240</v>
      </c>
      <c r="D199" s="220" t="s">
        <v>395</v>
      </c>
      <c r="E199" s="221"/>
      <c r="F199" s="222">
        <v>137.19999999999999</v>
      </c>
      <c r="G199" s="222">
        <v>130</v>
      </c>
      <c r="H199" s="222">
        <v>130</v>
      </c>
      <c r="I199" s="218"/>
      <c r="J199" s="214"/>
      <c r="K199" s="214"/>
      <c r="L199" s="214"/>
      <c r="M199" s="214"/>
      <c r="N199" s="214"/>
      <c r="O199" s="214"/>
      <c r="P199" s="214"/>
    </row>
    <row r="200" spans="1:16" ht="25.5" outlineLevel="4">
      <c r="A200" s="220" t="s">
        <v>1365</v>
      </c>
      <c r="B200" s="220" t="s">
        <v>236</v>
      </c>
      <c r="C200" s="220" t="s">
        <v>240</v>
      </c>
      <c r="D200" s="220" t="s">
        <v>1366</v>
      </c>
      <c r="E200" s="221"/>
      <c r="F200" s="222">
        <v>7.2</v>
      </c>
      <c r="G200" s="222">
        <v>0</v>
      </c>
      <c r="H200" s="222">
        <v>0</v>
      </c>
      <c r="I200" s="218"/>
      <c r="J200" s="214"/>
      <c r="K200" s="214"/>
      <c r="L200" s="214"/>
      <c r="M200" s="214"/>
      <c r="N200" s="214"/>
      <c r="O200" s="214"/>
      <c r="P200" s="214"/>
    </row>
    <row r="201" spans="1:16" ht="25.5" outlineLevel="5">
      <c r="A201" s="220" t="s">
        <v>617</v>
      </c>
      <c r="B201" s="220" t="s">
        <v>236</v>
      </c>
      <c r="C201" s="220" t="s">
        <v>240</v>
      </c>
      <c r="D201" s="220" t="s">
        <v>1366</v>
      </c>
      <c r="E201" s="220" t="s">
        <v>318</v>
      </c>
      <c r="F201" s="222">
        <v>7.2</v>
      </c>
      <c r="G201" s="222">
        <v>0</v>
      </c>
      <c r="H201" s="222">
        <v>0</v>
      </c>
      <c r="I201" s="218"/>
      <c r="J201" s="214"/>
      <c r="K201" s="214"/>
      <c r="L201" s="214"/>
      <c r="M201" s="214"/>
      <c r="N201" s="214"/>
      <c r="O201" s="214"/>
      <c r="P201" s="214"/>
    </row>
    <row r="202" spans="1:16" ht="38.25" outlineLevel="4">
      <c r="A202" s="220" t="s">
        <v>999</v>
      </c>
      <c r="B202" s="220" t="s">
        <v>236</v>
      </c>
      <c r="C202" s="220" t="s">
        <v>240</v>
      </c>
      <c r="D202" s="220" t="s">
        <v>1118</v>
      </c>
      <c r="E202" s="221"/>
      <c r="F202" s="222">
        <v>130</v>
      </c>
      <c r="G202" s="222">
        <v>130</v>
      </c>
      <c r="H202" s="222">
        <v>130</v>
      </c>
      <c r="I202" s="218"/>
      <c r="J202" s="214"/>
      <c r="K202" s="214"/>
      <c r="L202" s="214"/>
      <c r="M202" s="214"/>
      <c r="N202" s="214"/>
      <c r="O202" s="214"/>
      <c r="P202" s="214"/>
    </row>
    <row r="203" spans="1:16" ht="38.25" outlineLevel="5">
      <c r="A203" s="220" t="s">
        <v>616</v>
      </c>
      <c r="B203" s="220" t="s">
        <v>236</v>
      </c>
      <c r="C203" s="220" t="s">
        <v>240</v>
      </c>
      <c r="D203" s="220" t="s">
        <v>1118</v>
      </c>
      <c r="E203" s="220" t="s">
        <v>313</v>
      </c>
      <c r="F203" s="222">
        <v>130</v>
      </c>
      <c r="G203" s="222">
        <v>130</v>
      </c>
      <c r="H203" s="222">
        <v>130</v>
      </c>
      <c r="I203" s="218"/>
      <c r="J203" s="214"/>
      <c r="K203" s="214"/>
      <c r="L203" s="214"/>
      <c r="M203" s="214"/>
      <c r="N203" s="214"/>
      <c r="O203" s="214"/>
      <c r="P203" s="214"/>
    </row>
    <row r="204" spans="1:16" ht="25.5" outlineLevel="3">
      <c r="A204" s="220" t="s">
        <v>661</v>
      </c>
      <c r="B204" s="220" t="s">
        <v>242</v>
      </c>
      <c r="C204" s="220" t="s">
        <v>243</v>
      </c>
      <c r="D204" s="220" t="s">
        <v>395</v>
      </c>
      <c r="E204" s="221"/>
      <c r="F204" s="222">
        <v>172</v>
      </c>
      <c r="G204" s="222">
        <v>172</v>
      </c>
      <c r="H204" s="222">
        <v>172</v>
      </c>
      <c r="I204" s="218"/>
      <c r="J204" s="214"/>
      <c r="K204" s="214"/>
      <c r="L204" s="214"/>
      <c r="M204" s="214"/>
      <c r="N204" s="214"/>
      <c r="O204" s="214"/>
      <c r="P204" s="214"/>
    </row>
    <row r="205" spans="1:16" ht="25.5" outlineLevel="4">
      <c r="A205" s="220" t="s">
        <v>662</v>
      </c>
      <c r="B205" s="220" t="s">
        <v>242</v>
      </c>
      <c r="C205" s="220" t="s">
        <v>243</v>
      </c>
      <c r="D205" s="220" t="s">
        <v>1119</v>
      </c>
      <c r="E205" s="221"/>
      <c r="F205" s="222">
        <v>100</v>
      </c>
      <c r="G205" s="222">
        <v>100</v>
      </c>
      <c r="H205" s="222">
        <v>100</v>
      </c>
      <c r="I205" s="218"/>
      <c r="J205" s="214"/>
      <c r="K205" s="214"/>
      <c r="L205" s="214"/>
      <c r="M205" s="214"/>
      <c r="N205" s="214"/>
      <c r="O205" s="214"/>
      <c r="P205" s="214"/>
    </row>
    <row r="206" spans="1:16" ht="25.5" outlineLevel="5">
      <c r="A206" s="220" t="s">
        <v>617</v>
      </c>
      <c r="B206" s="220" t="s">
        <v>242</v>
      </c>
      <c r="C206" s="220" t="s">
        <v>243</v>
      </c>
      <c r="D206" s="220" t="s">
        <v>1119</v>
      </c>
      <c r="E206" s="220" t="s">
        <v>318</v>
      </c>
      <c r="F206" s="222">
        <v>100</v>
      </c>
      <c r="G206" s="222">
        <v>100</v>
      </c>
      <c r="H206" s="222">
        <v>100</v>
      </c>
      <c r="I206" s="218"/>
      <c r="J206" s="214"/>
      <c r="K206" s="214"/>
      <c r="L206" s="214"/>
      <c r="M206" s="214"/>
      <c r="N206" s="214"/>
      <c r="O206" s="214"/>
      <c r="P206" s="214"/>
    </row>
    <row r="207" spans="1:16" ht="25.5" outlineLevel="4">
      <c r="A207" s="220" t="s">
        <v>663</v>
      </c>
      <c r="B207" s="220" t="s">
        <v>242</v>
      </c>
      <c r="C207" s="220" t="s">
        <v>243</v>
      </c>
      <c r="D207" s="220" t="s">
        <v>1120</v>
      </c>
      <c r="E207" s="221"/>
      <c r="F207" s="222">
        <v>72</v>
      </c>
      <c r="G207" s="222">
        <v>72</v>
      </c>
      <c r="H207" s="222">
        <v>72</v>
      </c>
      <c r="I207" s="218"/>
      <c r="J207" s="214"/>
      <c r="K207" s="214"/>
      <c r="L207" s="214"/>
      <c r="M207" s="214"/>
      <c r="N207" s="214"/>
      <c r="O207" s="214"/>
      <c r="P207" s="214"/>
    </row>
    <row r="208" spans="1:16" ht="25.5" outlineLevel="5">
      <c r="A208" s="220" t="s">
        <v>617</v>
      </c>
      <c r="B208" s="220" t="s">
        <v>242</v>
      </c>
      <c r="C208" s="220" t="s">
        <v>243</v>
      </c>
      <c r="D208" s="220" t="s">
        <v>1120</v>
      </c>
      <c r="E208" s="220" t="s">
        <v>318</v>
      </c>
      <c r="F208" s="222">
        <v>72</v>
      </c>
      <c r="G208" s="222">
        <v>72</v>
      </c>
      <c r="H208" s="222">
        <v>72</v>
      </c>
      <c r="I208" s="218"/>
      <c r="J208" s="214"/>
      <c r="K208" s="214"/>
      <c r="L208" s="214"/>
      <c r="M208" s="214"/>
      <c r="N208" s="214"/>
      <c r="O208" s="214"/>
      <c r="P208" s="214"/>
    </row>
    <row r="209" spans="1:16" ht="25.5" outlineLevel="2">
      <c r="A209" s="220" t="s">
        <v>671</v>
      </c>
      <c r="B209" s="221"/>
      <c r="C209" s="221"/>
      <c r="D209" s="220" t="s">
        <v>1121</v>
      </c>
      <c r="E209" s="221"/>
      <c r="F209" s="222">
        <v>100</v>
      </c>
      <c r="G209" s="222">
        <v>100</v>
      </c>
      <c r="H209" s="222">
        <v>100</v>
      </c>
      <c r="I209" s="218"/>
      <c r="J209" s="214"/>
      <c r="K209" s="214"/>
      <c r="L209" s="214"/>
      <c r="M209" s="214"/>
      <c r="N209" s="214"/>
      <c r="O209" s="214"/>
      <c r="P209" s="214"/>
    </row>
    <row r="210" spans="1:16" outlineLevel="3">
      <c r="A210" s="220" t="s">
        <v>659</v>
      </c>
      <c r="B210" s="220" t="s">
        <v>242</v>
      </c>
      <c r="C210" s="220" t="s">
        <v>241</v>
      </c>
      <c r="D210" s="220" t="s">
        <v>1121</v>
      </c>
      <c r="E210" s="221"/>
      <c r="F210" s="222">
        <v>100</v>
      </c>
      <c r="G210" s="222">
        <v>100</v>
      </c>
      <c r="H210" s="222">
        <v>100</v>
      </c>
      <c r="I210" s="218"/>
      <c r="J210" s="214"/>
      <c r="K210" s="214"/>
      <c r="L210" s="214"/>
      <c r="M210" s="214"/>
      <c r="N210" s="214"/>
      <c r="O210" s="214"/>
      <c r="P210" s="214"/>
    </row>
    <row r="211" spans="1:16" ht="38.25" outlineLevel="4">
      <c r="A211" s="220" t="s">
        <v>674</v>
      </c>
      <c r="B211" s="220" t="s">
        <v>242</v>
      </c>
      <c r="C211" s="220" t="s">
        <v>241</v>
      </c>
      <c r="D211" s="220" t="s">
        <v>1122</v>
      </c>
      <c r="E211" s="221"/>
      <c r="F211" s="222">
        <v>100</v>
      </c>
      <c r="G211" s="222">
        <v>100</v>
      </c>
      <c r="H211" s="222">
        <v>100</v>
      </c>
      <c r="I211" s="218"/>
      <c r="J211" s="214"/>
      <c r="K211" s="214"/>
      <c r="L211" s="214"/>
      <c r="M211" s="214"/>
      <c r="N211" s="214"/>
      <c r="O211" s="214"/>
      <c r="P211" s="214"/>
    </row>
    <row r="212" spans="1:16" ht="25.5" outlineLevel="5">
      <c r="A212" s="220" t="s">
        <v>617</v>
      </c>
      <c r="B212" s="220" t="s">
        <v>242</v>
      </c>
      <c r="C212" s="220" t="s">
        <v>241</v>
      </c>
      <c r="D212" s="220" t="s">
        <v>1122</v>
      </c>
      <c r="E212" s="220" t="s">
        <v>318</v>
      </c>
      <c r="F212" s="222">
        <v>100</v>
      </c>
      <c r="G212" s="222">
        <v>100</v>
      </c>
      <c r="H212" s="222">
        <v>100</v>
      </c>
      <c r="I212" s="218"/>
      <c r="J212" s="214"/>
      <c r="K212" s="214"/>
      <c r="L212" s="214"/>
      <c r="M212" s="214"/>
      <c r="N212" s="214"/>
      <c r="O212" s="214"/>
      <c r="P212" s="214"/>
    </row>
    <row r="213" spans="1:16" outlineLevel="1">
      <c r="A213" s="220" t="s">
        <v>667</v>
      </c>
      <c r="B213" s="221"/>
      <c r="C213" s="221"/>
      <c r="D213" s="220" t="s">
        <v>396</v>
      </c>
      <c r="E213" s="221"/>
      <c r="F213" s="222">
        <v>8375.4210000000003</v>
      </c>
      <c r="G213" s="222">
        <v>8363.9959999999992</v>
      </c>
      <c r="H213" s="222">
        <v>8363.9959999999992</v>
      </c>
      <c r="I213" s="218"/>
      <c r="J213" s="214"/>
      <c r="K213" s="214"/>
      <c r="L213" s="214"/>
      <c r="M213" s="214"/>
      <c r="N213" s="214"/>
      <c r="O213" s="214"/>
      <c r="P213" s="214"/>
    </row>
    <row r="214" spans="1:16" ht="38.25" outlineLevel="2">
      <c r="A214" s="220" t="s">
        <v>1123</v>
      </c>
      <c r="B214" s="221"/>
      <c r="C214" s="221"/>
      <c r="D214" s="220" t="s">
        <v>397</v>
      </c>
      <c r="E214" s="221"/>
      <c r="F214" s="222">
        <v>100</v>
      </c>
      <c r="G214" s="222">
        <v>100</v>
      </c>
      <c r="H214" s="222">
        <v>100</v>
      </c>
      <c r="I214" s="218"/>
      <c r="J214" s="214"/>
      <c r="K214" s="214"/>
      <c r="L214" s="214"/>
      <c r="M214" s="214"/>
      <c r="N214" s="214"/>
      <c r="O214" s="214"/>
      <c r="P214" s="214"/>
    </row>
    <row r="215" spans="1:16" ht="25.5" outlineLevel="3">
      <c r="A215" s="220" t="s">
        <v>661</v>
      </c>
      <c r="B215" s="220" t="s">
        <v>242</v>
      </c>
      <c r="C215" s="220" t="s">
        <v>243</v>
      </c>
      <c r="D215" s="220" t="s">
        <v>397</v>
      </c>
      <c r="E215" s="221"/>
      <c r="F215" s="222">
        <v>100</v>
      </c>
      <c r="G215" s="222">
        <v>100</v>
      </c>
      <c r="H215" s="222">
        <v>100</v>
      </c>
      <c r="I215" s="218"/>
      <c r="J215" s="214"/>
      <c r="K215" s="214"/>
      <c r="L215" s="214"/>
      <c r="M215" s="214"/>
      <c r="N215" s="214"/>
      <c r="O215" s="214"/>
      <c r="P215" s="214"/>
    </row>
    <row r="216" spans="1:16" ht="38.25" outlineLevel="4">
      <c r="A216" s="220" t="s">
        <v>1124</v>
      </c>
      <c r="B216" s="220" t="s">
        <v>242</v>
      </c>
      <c r="C216" s="220" t="s">
        <v>243</v>
      </c>
      <c r="D216" s="220" t="s">
        <v>1125</v>
      </c>
      <c r="E216" s="221"/>
      <c r="F216" s="222">
        <v>100</v>
      </c>
      <c r="G216" s="222">
        <v>100</v>
      </c>
      <c r="H216" s="222">
        <v>100</v>
      </c>
      <c r="I216" s="218"/>
      <c r="J216" s="214"/>
      <c r="K216" s="214"/>
      <c r="L216" s="214"/>
      <c r="M216" s="214"/>
      <c r="N216" s="214"/>
      <c r="O216" s="214"/>
      <c r="P216" s="214"/>
    </row>
    <row r="217" spans="1:16" ht="25.5" outlineLevel="5">
      <c r="A217" s="220" t="s">
        <v>617</v>
      </c>
      <c r="B217" s="220" t="s">
        <v>242</v>
      </c>
      <c r="C217" s="220" t="s">
        <v>243</v>
      </c>
      <c r="D217" s="220" t="s">
        <v>1125</v>
      </c>
      <c r="E217" s="220" t="s">
        <v>318</v>
      </c>
      <c r="F217" s="222">
        <v>100</v>
      </c>
      <c r="G217" s="222">
        <v>100</v>
      </c>
      <c r="H217" s="222">
        <v>100</v>
      </c>
      <c r="I217" s="218"/>
      <c r="J217" s="214"/>
      <c r="K217" s="214"/>
      <c r="L217" s="214"/>
      <c r="M217" s="214"/>
      <c r="N217" s="214"/>
      <c r="O217" s="214"/>
      <c r="P217" s="214"/>
    </row>
    <row r="218" spans="1:16" ht="25.5" outlineLevel="2">
      <c r="A218" s="220" t="s">
        <v>678</v>
      </c>
      <c r="B218" s="221"/>
      <c r="C218" s="221"/>
      <c r="D218" s="220" t="s">
        <v>1126</v>
      </c>
      <c r="E218" s="221"/>
      <c r="F218" s="222">
        <v>8275.4210000000003</v>
      </c>
      <c r="G218" s="222">
        <v>8263.9959999999992</v>
      </c>
      <c r="H218" s="222">
        <v>8263.9959999999992</v>
      </c>
      <c r="I218" s="218"/>
      <c r="J218" s="214"/>
      <c r="K218" s="214"/>
      <c r="L218" s="214"/>
      <c r="M218" s="214"/>
      <c r="N218" s="214"/>
      <c r="O218" s="214"/>
      <c r="P218" s="214"/>
    </row>
    <row r="219" spans="1:16" outlineLevel="3">
      <c r="A219" s="220" t="s">
        <v>648</v>
      </c>
      <c r="B219" s="220" t="s">
        <v>236</v>
      </c>
      <c r="C219" s="220" t="s">
        <v>236</v>
      </c>
      <c r="D219" s="220" t="s">
        <v>1126</v>
      </c>
      <c r="E219" s="221"/>
      <c r="F219" s="222">
        <v>8275.4210000000003</v>
      </c>
      <c r="G219" s="222">
        <v>8263.9959999999992</v>
      </c>
      <c r="H219" s="222">
        <v>8263.9959999999992</v>
      </c>
      <c r="I219" s="218"/>
      <c r="J219" s="214"/>
      <c r="K219" s="214"/>
      <c r="L219" s="214"/>
      <c r="M219" s="214"/>
      <c r="N219" s="214"/>
      <c r="O219" s="214"/>
      <c r="P219" s="214"/>
    </row>
    <row r="220" spans="1:16" ht="25.5" outlineLevel="4">
      <c r="A220" s="220" t="s">
        <v>957</v>
      </c>
      <c r="B220" s="220" t="s">
        <v>236</v>
      </c>
      <c r="C220" s="220" t="s">
        <v>236</v>
      </c>
      <c r="D220" s="220" t="s">
        <v>1127</v>
      </c>
      <c r="E220" s="221"/>
      <c r="F220" s="222">
        <v>595.73800000000006</v>
      </c>
      <c r="G220" s="222">
        <v>595.73800000000006</v>
      </c>
      <c r="H220" s="222">
        <v>595.73800000000006</v>
      </c>
      <c r="I220" s="218"/>
      <c r="J220" s="214"/>
      <c r="K220" s="214"/>
      <c r="L220" s="214"/>
      <c r="M220" s="214"/>
      <c r="N220" s="214"/>
      <c r="O220" s="214"/>
      <c r="P220" s="214"/>
    </row>
    <row r="221" spans="1:16" ht="38.25" outlineLevel="5">
      <c r="A221" s="220" t="s">
        <v>612</v>
      </c>
      <c r="B221" s="220" t="s">
        <v>236</v>
      </c>
      <c r="C221" s="220" t="s">
        <v>236</v>
      </c>
      <c r="D221" s="220" t="s">
        <v>1127</v>
      </c>
      <c r="E221" s="220" t="s">
        <v>315</v>
      </c>
      <c r="F221" s="222">
        <v>595.73800000000006</v>
      </c>
      <c r="G221" s="222">
        <v>595.73800000000006</v>
      </c>
      <c r="H221" s="222">
        <v>595.73800000000006</v>
      </c>
      <c r="I221" s="218"/>
      <c r="J221" s="214"/>
      <c r="K221" s="214"/>
      <c r="L221" s="214"/>
      <c r="M221" s="214"/>
      <c r="N221" s="214"/>
      <c r="O221" s="214"/>
      <c r="P221" s="214"/>
    </row>
    <row r="222" spans="1:16" ht="51" outlineLevel="4">
      <c r="A222" s="220" t="s">
        <v>1128</v>
      </c>
      <c r="B222" s="220" t="s">
        <v>236</v>
      </c>
      <c r="C222" s="220" t="s">
        <v>236</v>
      </c>
      <c r="D222" s="220" t="s">
        <v>1129</v>
      </c>
      <c r="E222" s="221"/>
      <c r="F222" s="222">
        <v>4515.3329999999996</v>
      </c>
      <c r="G222" s="222">
        <v>4503.9080000000004</v>
      </c>
      <c r="H222" s="222">
        <v>4503.9080000000004</v>
      </c>
      <c r="I222" s="218"/>
      <c r="J222" s="214"/>
      <c r="K222" s="214"/>
      <c r="L222" s="214"/>
      <c r="M222" s="214"/>
      <c r="N222" s="214"/>
      <c r="O222" s="214"/>
      <c r="P222" s="214"/>
    </row>
    <row r="223" spans="1:16" ht="38.25" outlineLevel="5">
      <c r="A223" s="220" t="s">
        <v>612</v>
      </c>
      <c r="B223" s="220" t="s">
        <v>236</v>
      </c>
      <c r="C223" s="220" t="s">
        <v>236</v>
      </c>
      <c r="D223" s="220" t="s">
        <v>1129</v>
      </c>
      <c r="E223" s="220" t="s">
        <v>315</v>
      </c>
      <c r="F223" s="222">
        <v>4515.3329999999996</v>
      </c>
      <c r="G223" s="222">
        <v>4503.9080000000004</v>
      </c>
      <c r="H223" s="222">
        <v>4503.9080000000004</v>
      </c>
      <c r="I223" s="218"/>
      <c r="J223" s="214"/>
      <c r="K223" s="214"/>
      <c r="L223" s="214"/>
      <c r="M223" s="214"/>
      <c r="N223" s="214"/>
      <c r="O223" s="214"/>
      <c r="P223" s="214"/>
    </row>
    <row r="224" spans="1:16" ht="25.5" outlineLevel="4">
      <c r="A224" s="220" t="s">
        <v>679</v>
      </c>
      <c r="B224" s="220" t="s">
        <v>236</v>
      </c>
      <c r="C224" s="220" t="s">
        <v>236</v>
      </c>
      <c r="D224" s="220" t="s">
        <v>1130</v>
      </c>
      <c r="E224" s="221"/>
      <c r="F224" s="222">
        <v>158.5</v>
      </c>
      <c r="G224" s="222">
        <v>158.5</v>
      </c>
      <c r="H224" s="222">
        <v>158.5</v>
      </c>
      <c r="I224" s="218"/>
      <c r="J224" s="214"/>
      <c r="K224" s="214"/>
      <c r="L224" s="214"/>
      <c r="M224" s="214"/>
      <c r="N224" s="214"/>
      <c r="O224" s="214"/>
      <c r="P224" s="214"/>
    </row>
    <row r="225" spans="1:16" ht="38.25" outlineLevel="5">
      <c r="A225" s="220" t="s">
        <v>612</v>
      </c>
      <c r="B225" s="220" t="s">
        <v>236</v>
      </c>
      <c r="C225" s="220" t="s">
        <v>236</v>
      </c>
      <c r="D225" s="220" t="s">
        <v>1130</v>
      </c>
      <c r="E225" s="220" t="s">
        <v>315</v>
      </c>
      <c r="F225" s="222">
        <v>158.5</v>
      </c>
      <c r="G225" s="222">
        <v>158.5</v>
      </c>
      <c r="H225" s="222">
        <v>158.5</v>
      </c>
      <c r="I225" s="218"/>
      <c r="J225" s="214"/>
      <c r="K225" s="214"/>
      <c r="L225" s="214"/>
      <c r="M225" s="214"/>
      <c r="N225" s="214"/>
      <c r="O225" s="214"/>
      <c r="P225" s="214"/>
    </row>
    <row r="226" spans="1:16" ht="63.75" outlineLevel="4">
      <c r="A226" s="220" t="s">
        <v>680</v>
      </c>
      <c r="B226" s="220" t="s">
        <v>236</v>
      </c>
      <c r="C226" s="220" t="s">
        <v>236</v>
      </c>
      <c r="D226" s="220" t="s">
        <v>1131</v>
      </c>
      <c r="E226" s="221"/>
      <c r="F226" s="222">
        <v>168</v>
      </c>
      <c r="G226" s="222">
        <v>168</v>
      </c>
      <c r="H226" s="222">
        <v>168</v>
      </c>
      <c r="I226" s="218"/>
      <c r="J226" s="214"/>
      <c r="K226" s="214"/>
      <c r="L226" s="214"/>
      <c r="M226" s="214"/>
      <c r="N226" s="214"/>
      <c r="O226" s="214"/>
      <c r="P226" s="214"/>
    </row>
    <row r="227" spans="1:16" ht="38.25" outlineLevel="5">
      <c r="A227" s="220" t="s">
        <v>612</v>
      </c>
      <c r="B227" s="220" t="s">
        <v>236</v>
      </c>
      <c r="C227" s="220" t="s">
        <v>236</v>
      </c>
      <c r="D227" s="220" t="s">
        <v>1131</v>
      </c>
      <c r="E227" s="220" t="s">
        <v>315</v>
      </c>
      <c r="F227" s="222">
        <v>168</v>
      </c>
      <c r="G227" s="222">
        <v>168</v>
      </c>
      <c r="H227" s="222">
        <v>168</v>
      </c>
      <c r="I227" s="218"/>
      <c r="J227" s="214"/>
      <c r="K227" s="214"/>
      <c r="L227" s="214"/>
      <c r="M227" s="214"/>
      <c r="N227" s="214"/>
      <c r="O227" s="214"/>
      <c r="P227" s="214"/>
    </row>
    <row r="228" spans="1:16" ht="38.25" outlineLevel="4">
      <c r="A228" s="220" t="s">
        <v>1015</v>
      </c>
      <c r="B228" s="220" t="s">
        <v>236</v>
      </c>
      <c r="C228" s="220" t="s">
        <v>236</v>
      </c>
      <c r="D228" s="220" t="s">
        <v>1132</v>
      </c>
      <c r="E228" s="221"/>
      <c r="F228" s="222">
        <v>2837.85</v>
      </c>
      <c r="G228" s="222">
        <v>2837.85</v>
      </c>
      <c r="H228" s="222">
        <v>2837.85</v>
      </c>
      <c r="I228" s="218"/>
      <c r="J228" s="214"/>
      <c r="K228" s="214"/>
      <c r="L228" s="214"/>
      <c r="M228" s="214"/>
      <c r="N228" s="214"/>
      <c r="O228" s="214"/>
      <c r="P228" s="214"/>
    </row>
    <row r="229" spans="1:16" ht="38.25" outlineLevel="5">
      <c r="A229" s="220" t="s">
        <v>612</v>
      </c>
      <c r="B229" s="220" t="s">
        <v>236</v>
      </c>
      <c r="C229" s="220" t="s">
        <v>236</v>
      </c>
      <c r="D229" s="220" t="s">
        <v>1132</v>
      </c>
      <c r="E229" s="220" t="s">
        <v>315</v>
      </c>
      <c r="F229" s="222">
        <v>2837.85</v>
      </c>
      <c r="G229" s="222">
        <v>2837.85</v>
      </c>
      <c r="H229" s="222">
        <v>2837.85</v>
      </c>
      <c r="I229" s="218"/>
      <c r="J229" s="214"/>
      <c r="K229" s="214"/>
      <c r="L229" s="214"/>
      <c r="M229" s="214"/>
      <c r="N229" s="214"/>
      <c r="O229" s="214"/>
      <c r="P229" s="214"/>
    </row>
    <row r="230" spans="1:16" ht="25.5" outlineLevel="1">
      <c r="A230" s="220" t="s">
        <v>1133</v>
      </c>
      <c r="B230" s="221"/>
      <c r="C230" s="221"/>
      <c r="D230" s="220" t="s">
        <v>398</v>
      </c>
      <c r="E230" s="221"/>
      <c r="F230" s="222">
        <v>1460</v>
      </c>
      <c r="G230" s="222">
        <v>1200</v>
      </c>
      <c r="H230" s="222">
        <v>1200</v>
      </c>
      <c r="I230" s="218"/>
      <c r="J230" s="214"/>
      <c r="K230" s="214"/>
      <c r="L230" s="214"/>
      <c r="M230" s="214"/>
      <c r="N230" s="214"/>
      <c r="O230" s="214"/>
      <c r="P230" s="214"/>
    </row>
    <row r="231" spans="1:16" ht="25.5" outlineLevel="2">
      <c r="A231" s="220" t="s">
        <v>1134</v>
      </c>
      <c r="B231" s="221"/>
      <c r="C231" s="221"/>
      <c r="D231" s="220" t="s">
        <v>399</v>
      </c>
      <c r="E231" s="221"/>
      <c r="F231" s="222">
        <v>1460</v>
      </c>
      <c r="G231" s="222">
        <v>1200</v>
      </c>
      <c r="H231" s="222">
        <v>1200</v>
      </c>
      <c r="I231" s="218"/>
      <c r="J231" s="214"/>
      <c r="K231" s="214"/>
      <c r="L231" s="214"/>
      <c r="M231" s="214"/>
      <c r="N231" s="214"/>
      <c r="O231" s="214"/>
      <c r="P231" s="214"/>
    </row>
    <row r="232" spans="1:16" outlineLevel="3">
      <c r="A232" s="220" t="s">
        <v>648</v>
      </c>
      <c r="B232" s="220" t="s">
        <v>236</v>
      </c>
      <c r="C232" s="220" t="s">
        <v>236</v>
      </c>
      <c r="D232" s="220" t="s">
        <v>399</v>
      </c>
      <c r="E232" s="221"/>
      <c r="F232" s="222">
        <v>1460</v>
      </c>
      <c r="G232" s="222">
        <v>1200</v>
      </c>
      <c r="H232" s="222">
        <v>1200</v>
      </c>
      <c r="I232" s="218"/>
      <c r="J232" s="214"/>
      <c r="K232" s="214"/>
      <c r="L232" s="214"/>
      <c r="M232" s="214"/>
      <c r="N232" s="214"/>
      <c r="O232" s="214"/>
      <c r="P232" s="214"/>
    </row>
    <row r="233" spans="1:16" ht="38.25" outlineLevel="4">
      <c r="A233" s="220" t="s">
        <v>665</v>
      </c>
      <c r="B233" s="220" t="s">
        <v>236</v>
      </c>
      <c r="C233" s="220" t="s">
        <v>236</v>
      </c>
      <c r="D233" s="220" t="s">
        <v>400</v>
      </c>
      <c r="E233" s="221"/>
      <c r="F233" s="222">
        <v>1200</v>
      </c>
      <c r="G233" s="222">
        <v>1200</v>
      </c>
      <c r="H233" s="222">
        <v>1200</v>
      </c>
      <c r="I233" s="218"/>
      <c r="J233" s="214"/>
      <c r="K233" s="214"/>
      <c r="L233" s="214"/>
      <c r="M233" s="214"/>
      <c r="N233" s="214"/>
      <c r="O233" s="214"/>
      <c r="P233" s="214"/>
    </row>
    <row r="234" spans="1:16" ht="38.25" outlineLevel="5">
      <c r="A234" s="220" t="s">
        <v>612</v>
      </c>
      <c r="B234" s="220" t="s">
        <v>236</v>
      </c>
      <c r="C234" s="220" t="s">
        <v>236</v>
      </c>
      <c r="D234" s="220" t="s">
        <v>400</v>
      </c>
      <c r="E234" s="220" t="s">
        <v>315</v>
      </c>
      <c r="F234" s="222">
        <v>1200</v>
      </c>
      <c r="G234" s="222">
        <v>1200</v>
      </c>
      <c r="H234" s="222">
        <v>1200</v>
      </c>
      <c r="I234" s="218"/>
      <c r="J234" s="214"/>
      <c r="K234" s="214"/>
      <c r="L234" s="214"/>
      <c r="M234" s="214"/>
      <c r="N234" s="214"/>
      <c r="O234" s="214"/>
      <c r="P234" s="214"/>
    </row>
    <row r="235" spans="1:16" outlineLevel="4">
      <c r="A235" s="220" t="s">
        <v>1350</v>
      </c>
      <c r="B235" s="220" t="s">
        <v>236</v>
      </c>
      <c r="C235" s="220" t="s">
        <v>236</v>
      </c>
      <c r="D235" s="220" t="s">
        <v>1351</v>
      </c>
      <c r="E235" s="221"/>
      <c r="F235" s="222">
        <v>260</v>
      </c>
      <c r="G235" s="222">
        <v>0</v>
      </c>
      <c r="H235" s="222">
        <v>0</v>
      </c>
      <c r="I235" s="218"/>
      <c r="J235" s="214"/>
      <c r="K235" s="214"/>
      <c r="L235" s="214"/>
      <c r="M235" s="214"/>
      <c r="N235" s="214"/>
      <c r="O235" s="214"/>
      <c r="P235" s="214"/>
    </row>
    <row r="236" spans="1:16" ht="38.25" outlineLevel="5">
      <c r="A236" s="220" t="s">
        <v>612</v>
      </c>
      <c r="B236" s="220" t="s">
        <v>236</v>
      </c>
      <c r="C236" s="220" t="s">
        <v>236</v>
      </c>
      <c r="D236" s="220" t="s">
        <v>1351</v>
      </c>
      <c r="E236" s="220" t="s">
        <v>315</v>
      </c>
      <c r="F236" s="222">
        <v>260</v>
      </c>
      <c r="G236" s="222">
        <v>0</v>
      </c>
      <c r="H236" s="222">
        <v>0</v>
      </c>
      <c r="I236" s="218"/>
      <c r="J236" s="214"/>
      <c r="K236" s="214"/>
      <c r="L236" s="214"/>
      <c r="M236" s="214"/>
      <c r="N236" s="214"/>
      <c r="O236" s="214"/>
      <c r="P236" s="214"/>
    </row>
    <row r="237" spans="1:16" ht="51">
      <c r="A237" s="220" t="s">
        <v>493</v>
      </c>
      <c r="B237" s="221"/>
      <c r="C237" s="221"/>
      <c r="D237" s="220" t="s">
        <v>401</v>
      </c>
      <c r="E237" s="221"/>
      <c r="F237" s="222">
        <v>53948.523000000001</v>
      </c>
      <c r="G237" s="222">
        <v>44205.351000000002</v>
      </c>
      <c r="H237" s="222">
        <v>43131.894</v>
      </c>
      <c r="I237" s="218"/>
      <c r="J237" s="214"/>
      <c r="K237" s="214"/>
      <c r="L237" s="214"/>
      <c r="M237" s="214"/>
      <c r="N237" s="214"/>
      <c r="O237" s="214"/>
      <c r="P237" s="214"/>
    </row>
    <row r="238" spans="1:16" outlineLevel="1">
      <c r="A238" s="220" t="s">
        <v>681</v>
      </c>
      <c r="B238" s="221"/>
      <c r="C238" s="221"/>
      <c r="D238" s="220" t="s">
        <v>402</v>
      </c>
      <c r="E238" s="221"/>
      <c r="F238" s="222">
        <v>13343.828</v>
      </c>
      <c r="G238" s="222">
        <v>16037.656000000001</v>
      </c>
      <c r="H238" s="222">
        <v>14964.199000000001</v>
      </c>
      <c r="I238" s="218"/>
      <c r="J238" s="214"/>
      <c r="K238" s="214"/>
      <c r="L238" s="214"/>
      <c r="M238" s="214"/>
      <c r="N238" s="214"/>
      <c r="O238" s="214"/>
      <c r="P238" s="214"/>
    </row>
    <row r="239" spans="1:16" ht="127.5" outlineLevel="2">
      <c r="A239" s="220" t="s">
        <v>749</v>
      </c>
      <c r="B239" s="221"/>
      <c r="C239" s="221"/>
      <c r="D239" s="220" t="s">
        <v>403</v>
      </c>
      <c r="E239" s="221"/>
      <c r="F239" s="222">
        <v>13343.828</v>
      </c>
      <c r="G239" s="222">
        <v>16037.656000000001</v>
      </c>
      <c r="H239" s="222">
        <v>14964.199000000001</v>
      </c>
      <c r="I239" s="218"/>
      <c r="J239" s="214"/>
      <c r="K239" s="214"/>
      <c r="L239" s="214"/>
      <c r="M239" s="214"/>
      <c r="N239" s="214"/>
      <c r="O239" s="214"/>
      <c r="P239" s="214"/>
    </row>
    <row r="240" spans="1:16" outlineLevel="3">
      <c r="A240" s="220" t="s">
        <v>642</v>
      </c>
      <c r="B240" s="220" t="s">
        <v>239</v>
      </c>
      <c r="C240" s="220" t="s">
        <v>6</v>
      </c>
      <c r="D240" s="220" t="s">
        <v>403</v>
      </c>
      <c r="E240" s="221"/>
      <c r="F240" s="222">
        <v>10</v>
      </c>
      <c r="G240" s="222">
        <v>10</v>
      </c>
      <c r="H240" s="222">
        <v>10</v>
      </c>
      <c r="I240" s="218"/>
      <c r="J240" s="214"/>
      <c r="K240" s="214"/>
      <c r="L240" s="214"/>
      <c r="M240" s="214"/>
      <c r="N240" s="214"/>
      <c r="O240" s="214"/>
      <c r="P240" s="214"/>
    </row>
    <row r="241" spans="1:16" ht="38.25" outlineLevel="4">
      <c r="A241" s="220" t="s">
        <v>682</v>
      </c>
      <c r="B241" s="220" t="s">
        <v>239</v>
      </c>
      <c r="C241" s="220" t="s">
        <v>6</v>
      </c>
      <c r="D241" s="220" t="s">
        <v>404</v>
      </c>
      <c r="E241" s="221"/>
      <c r="F241" s="222">
        <v>10</v>
      </c>
      <c r="G241" s="222">
        <v>10</v>
      </c>
      <c r="H241" s="222">
        <v>10</v>
      </c>
      <c r="I241" s="218"/>
      <c r="J241" s="214"/>
      <c r="K241" s="214"/>
      <c r="L241" s="214"/>
      <c r="M241" s="214"/>
      <c r="N241" s="214"/>
      <c r="O241" s="214"/>
      <c r="P241" s="214"/>
    </row>
    <row r="242" spans="1:16" ht="38.25" outlineLevel="5">
      <c r="A242" s="220" t="s">
        <v>616</v>
      </c>
      <c r="B242" s="220" t="s">
        <v>239</v>
      </c>
      <c r="C242" s="220" t="s">
        <v>6</v>
      </c>
      <c r="D242" s="220" t="s">
        <v>404</v>
      </c>
      <c r="E242" s="220" t="s">
        <v>313</v>
      </c>
      <c r="F242" s="222">
        <v>10</v>
      </c>
      <c r="G242" s="222">
        <v>10</v>
      </c>
      <c r="H242" s="222">
        <v>10</v>
      </c>
      <c r="I242" s="218"/>
      <c r="J242" s="214"/>
      <c r="K242" s="214"/>
      <c r="L242" s="214"/>
      <c r="M242" s="214"/>
      <c r="N242" s="214"/>
      <c r="O242" s="214"/>
      <c r="P242" s="214"/>
    </row>
    <row r="243" spans="1:16" outlineLevel="3">
      <c r="A243" s="220" t="s">
        <v>660</v>
      </c>
      <c r="B243" s="220" t="s">
        <v>4</v>
      </c>
      <c r="C243" s="220" t="s">
        <v>239</v>
      </c>
      <c r="D243" s="220" t="s">
        <v>403</v>
      </c>
      <c r="E243" s="221"/>
      <c r="F243" s="222">
        <v>9040</v>
      </c>
      <c r="G243" s="222">
        <v>7440</v>
      </c>
      <c r="H243" s="222">
        <v>7440</v>
      </c>
      <c r="I243" s="218"/>
      <c r="J243" s="214"/>
      <c r="K243" s="214"/>
      <c r="L243" s="214"/>
      <c r="M243" s="214"/>
      <c r="N243" s="214"/>
      <c r="O243" s="214"/>
      <c r="P243" s="214"/>
    </row>
    <row r="244" spans="1:16" ht="63.75" outlineLevel="4">
      <c r="A244" s="220" t="s">
        <v>683</v>
      </c>
      <c r="B244" s="220" t="s">
        <v>4</v>
      </c>
      <c r="C244" s="220" t="s">
        <v>239</v>
      </c>
      <c r="D244" s="220" t="s">
        <v>405</v>
      </c>
      <c r="E244" s="221"/>
      <c r="F244" s="222">
        <v>70</v>
      </c>
      <c r="G244" s="222">
        <v>70</v>
      </c>
      <c r="H244" s="222">
        <v>70</v>
      </c>
      <c r="I244" s="218"/>
      <c r="J244" s="214"/>
      <c r="K244" s="214"/>
      <c r="L244" s="214"/>
      <c r="M244" s="214"/>
      <c r="N244" s="214"/>
      <c r="O244" s="214"/>
      <c r="P244" s="214"/>
    </row>
    <row r="245" spans="1:16" ht="38.25" outlineLevel="5">
      <c r="A245" s="220" t="s">
        <v>616</v>
      </c>
      <c r="B245" s="220" t="s">
        <v>4</v>
      </c>
      <c r="C245" s="220" t="s">
        <v>239</v>
      </c>
      <c r="D245" s="220" t="s">
        <v>405</v>
      </c>
      <c r="E245" s="220" t="s">
        <v>313</v>
      </c>
      <c r="F245" s="222">
        <v>70</v>
      </c>
      <c r="G245" s="222">
        <v>70</v>
      </c>
      <c r="H245" s="222">
        <v>70</v>
      </c>
      <c r="I245" s="218"/>
      <c r="J245" s="214"/>
      <c r="K245" s="214"/>
      <c r="L245" s="214"/>
      <c r="M245" s="214"/>
      <c r="N245" s="214"/>
      <c r="O245" s="214"/>
      <c r="P245" s="214"/>
    </row>
    <row r="246" spans="1:16" ht="51" outlineLevel="4">
      <c r="A246" s="220" t="s">
        <v>684</v>
      </c>
      <c r="B246" s="220" t="s">
        <v>4</v>
      </c>
      <c r="C246" s="220" t="s">
        <v>239</v>
      </c>
      <c r="D246" s="220" t="s">
        <v>406</v>
      </c>
      <c r="E246" s="221"/>
      <c r="F246" s="222">
        <v>40</v>
      </c>
      <c r="G246" s="222">
        <v>40</v>
      </c>
      <c r="H246" s="222">
        <v>40</v>
      </c>
      <c r="I246" s="218"/>
      <c r="J246" s="214"/>
      <c r="K246" s="214"/>
      <c r="L246" s="214"/>
      <c r="M246" s="214"/>
      <c r="N246" s="214"/>
      <c r="O246" s="214"/>
      <c r="P246" s="214"/>
    </row>
    <row r="247" spans="1:16" ht="38.25" outlineLevel="5">
      <c r="A247" s="220" t="s">
        <v>616</v>
      </c>
      <c r="B247" s="220" t="s">
        <v>4</v>
      </c>
      <c r="C247" s="220" t="s">
        <v>239</v>
      </c>
      <c r="D247" s="220" t="s">
        <v>406</v>
      </c>
      <c r="E247" s="220" t="s">
        <v>313</v>
      </c>
      <c r="F247" s="222">
        <v>40</v>
      </c>
      <c r="G247" s="222">
        <v>40</v>
      </c>
      <c r="H247" s="222">
        <v>40</v>
      </c>
      <c r="I247" s="218"/>
      <c r="J247" s="214"/>
      <c r="K247" s="214"/>
      <c r="L247" s="214"/>
      <c r="M247" s="214"/>
      <c r="N247" s="214"/>
      <c r="O247" s="214"/>
      <c r="P247" s="214"/>
    </row>
    <row r="248" spans="1:16" ht="38.25" outlineLevel="4">
      <c r="A248" s="220" t="s">
        <v>685</v>
      </c>
      <c r="B248" s="220" t="s">
        <v>4</v>
      </c>
      <c r="C248" s="220" t="s">
        <v>239</v>
      </c>
      <c r="D248" s="220" t="s">
        <v>407</v>
      </c>
      <c r="E248" s="221"/>
      <c r="F248" s="222">
        <v>5300</v>
      </c>
      <c r="G248" s="222">
        <v>5300</v>
      </c>
      <c r="H248" s="222">
        <v>5300</v>
      </c>
      <c r="I248" s="218"/>
      <c r="J248" s="214"/>
      <c r="K248" s="214"/>
      <c r="L248" s="214"/>
      <c r="M248" s="214"/>
      <c r="N248" s="214"/>
      <c r="O248" s="214"/>
      <c r="P248" s="214"/>
    </row>
    <row r="249" spans="1:16" ht="38.25" outlineLevel="5">
      <c r="A249" s="220" t="s">
        <v>616</v>
      </c>
      <c r="B249" s="220" t="s">
        <v>4</v>
      </c>
      <c r="C249" s="220" t="s">
        <v>239</v>
      </c>
      <c r="D249" s="220" t="s">
        <v>407</v>
      </c>
      <c r="E249" s="220" t="s">
        <v>313</v>
      </c>
      <c r="F249" s="222">
        <v>5300</v>
      </c>
      <c r="G249" s="222">
        <v>5300</v>
      </c>
      <c r="H249" s="222">
        <v>5300</v>
      </c>
      <c r="I249" s="218"/>
      <c r="J249" s="214"/>
      <c r="K249" s="214"/>
      <c r="L249" s="214"/>
      <c r="M249" s="214"/>
      <c r="N249" s="214"/>
      <c r="O249" s="214"/>
      <c r="P249" s="214"/>
    </row>
    <row r="250" spans="1:16" ht="25.5" outlineLevel="4">
      <c r="A250" s="220" t="s">
        <v>686</v>
      </c>
      <c r="B250" s="220" t="s">
        <v>4</v>
      </c>
      <c r="C250" s="220" t="s">
        <v>239</v>
      </c>
      <c r="D250" s="220" t="s">
        <v>408</v>
      </c>
      <c r="E250" s="221"/>
      <c r="F250" s="222">
        <v>400</v>
      </c>
      <c r="G250" s="222">
        <v>400</v>
      </c>
      <c r="H250" s="222">
        <v>400</v>
      </c>
      <c r="I250" s="218"/>
      <c r="J250" s="214"/>
      <c r="K250" s="214"/>
      <c r="L250" s="214"/>
      <c r="M250" s="214"/>
      <c r="N250" s="214"/>
      <c r="O250" s="214"/>
      <c r="P250" s="214"/>
    </row>
    <row r="251" spans="1:16" ht="38.25" outlineLevel="5">
      <c r="A251" s="220" t="s">
        <v>616</v>
      </c>
      <c r="B251" s="220" t="s">
        <v>4</v>
      </c>
      <c r="C251" s="220" t="s">
        <v>239</v>
      </c>
      <c r="D251" s="220" t="s">
        <v>408</v>
      </c>
      <c r="E251" s="220" t="s">
        <v>313</v>
      </c>
      <c r="F251" s="222">
        <v>400</v>
      </c>
      <c r="G251" s="222">
        <v>400</v>
      </c>
      <c r="H251" s="222">
        <v>400</v>
      </c>
      <c r="I251" s="218"/>
      <c r="J251" s="214"/>
      <c r="K251" s="214"/>
      <c r="L251" s="214"/>
      <c r="M251" s="214"/>
      <c r="N251" s="214"/>
      <c r="O251" s="214"/>
      <c r="P251" s="214"/>
    </row>
    <row r="252" spans="1:16" ht="38.25" outlineLevel="4">
      <c r="A252" s="220" t="s">
        <v>687</v>
      </c>
      <c r="B252" s="220" t="s">
        <v>4</v>
      </c>
      <c r="C252" s="220" t="s">
        <v>239</v>
      </c>
      <c r="D252" s="220" t="s">
        <v>409</v>
      </c>
      <c r="E252" s="221"/>
      <c r="F252" s="222">
        <v>550</v>
      </c>
      <c r="G252" s="222">
        <v>550</v>
      </c>
      <c r="H252" s="222">
        <v>550</v>
      </c>
      <c r="I252" s="218"/>
      <c r="J252" s="214"/>
      <c r="K252" s="214"/>
      <c r="L252" s="214"/>
      <c r="M252" s="214"/>
      <c r="N252" s="214"/>
      <c r="O252" s="214"/>
      <c r="P252" s="214"/>
    </row>
    <row r="253" spans="1:16" ht="38.25" outlineLevel="5">
      <c r="A253" s="220" t="s">
        <v>616</v>
      </c>
      <c r="B253" s="220" t="s">
        <v>4</v>
      </c>
      <c r="C253" s="220" t="s">
        <v>239</v>
      </c>
      <c r="D253" s="220" t="s">
        <v>409</v>
      </c>
      <c r="E253" s="220" t="s">
        <v>313</v>
      </c>
      <c r="F253" s="222">
        <v>550</v>
      </c>
      <c r="G253" s="222">
        <v>550</v>
      </c>
      <c r="H253" s="222">
        <v>550</v>
      </c>
      <c r="I253" s="218"/>
      <c r="J253" s="214"/>
      <c r="K253" s="214"/>
      <c r="L253" s="214"/>
      <c r="M253" s="214"/>
      <c r="N253" s="214"/>
      <c r="O253" s="214"/>
      <c r="P253" s="214"/>
    </row>
    <row r="254" spans="1:16" ht="51" outlineLevel="4">
      <c r="A254" s="220" t="s">
        <v>688</v>
      </c>
      <c r="B254" s="220" t="s">
        <v>4</v>
      </c>
      <c r="C254" s="220" t="s">
        <v>239</v>
      </c>
      <c r="D254" s="220" t="s">
        <v>410</v>
      </c>
      <c r="E254" s="221"/>
      <c r="F254" s="222">
        <v>80</v>
      </c>
      <c r="G254" s="222">
        <v>80</v>
      </c>
      <c r="H254" s="222">
        <v>80</v>
      </c>
      <c r="I254" s="218"/>
      <c r="J254" s="214"/>
      <c r="K254" s="214"/>
      <c r="L254" s="214"/>
      <c r="M254" s="214"/>
      <c r="N254" s="214"/>
      <c r="O254" s="214"/>
      <c r="P254" s="214"/>
    </row>
    <row r="255" spans="1:16" ht="38.25" outlineLevel="5">
      <c r="A255" s="220" t="s">
        <v>616</v>
      </c>
      <c r="B255" s="220" t="s">
        <v>4</v>
      </c>
      <c r="C255" s="220" t="s">
        <v>239</v>
      </c>
      <c r="D255" s="220" t="s">
        <v>410</v>
      </c>
      <c r="E255" s="220" t="s">
        <v>313</v>
      </c>
      <c r="F255" s="222">
        <v>80</v>
      </c>
      <c r="G255" s="222">
        <v>80</v>
      </c>
      <c r="H255" s="222">
        <v>80</v>
      </c>
      <c r="I255" s="218"/>
      <c r="J255" s="214"/>
      <c r="K255" s="214"/>
      <c r="L255" s="214"/>
      <c r="M255" s="214"/>
      <c r="N255" s="214"/>
      <c r="O255" s="214"/>
      <c r="P255" s="214"/>
    </row>
    <row r="256" spans="1:16" ht="25.5" outlineLevel="4">
      <c r="A256" s="220" t="s">
        <v>689</v>
      </c>
      <c r="B256" s="220" t="s">
        <v>4</v>
      </c>
      <c r="C256" s="220" t="s">
        <v>239</v>
      </c>
      <c r="D256" s="220" t="s">
        <v>411</v>
      </c>
      <c r="E256" s="221"/>
      <c r="F256" s="222">
        <v>1000</v>
      </c>
      <c r="G256" s="222">
        <v>1000</v>
      </c>
      <c r="H256" s="222">
        <v>1000</v>
      </c>
      <c r="I256" s="218"/>
      <c r="J256" s="214"/>
      <c r="K256" s="214"/>
      <c r="L256" s="214"/>
      <c r="M256" s="214"/>
      <c r="N256" s="214"/>
      <c r="O256" s="214"/>
      <c r="P256" s="214"/>
    </row>
    <row r="257" spans="1:16" outlineLevel="5">
      <c r="A257" s="220" t="s">
        <v>623</v>
      </c>
      <c r="B257" s="220" t="s">
        <v>4</v>
      </c>
      <c r="C257" s="220" t="s">
        <v>239</v>
      </c>
      <c r="D257" s="220" t="s">
        <v>411</v>
      </c>
      <c r="E257" s="220" t="s">
        <v>314</v>
      </c>
      <c r="F257" s="222">
        <v>1000</v>
      </c>
      <c r="G257" s="222">
        <v>1000</v>
      </c>
      <c r="H257" s="222">
        <v>1000</v>
      </c>
      <c r="I257" s="218"/>
      <c r="J257" s="214"/>
      <c r="K257" s="214"/>
      <c r="L257" s="214"/>
      <c r="M257" s="214"/>
      <c r="N257" s="214"/>
      <c r="O257" s="214"/>
      <c r="P257" s="214"/>
    </row>
    <row r="258" spans="1:16" ht="51" outlineLevel="4">
      <c r="A258" s="220" t="s">
        <v>1352</v>
      </c>
      <c r="B258" s="220" t="s">
        <v>4</v>
      </c>
      <c r="C258" s="220" t="s">
        <v>239</v>
      </c>
      <c r="D258" s="220" t="s">
        <v>1353</v>
      </c>
      <c r="E258" s="221"/>
      <c r="F258" s="222">
        <v>200</v>
      </c>
      <c r="G258" s="222">
        <v>0</v>
      </c>
      <c r="H258" s="222">
        <v>0</v>
      </c>
      <c r="I258" s="218"/>
      <c r="J258" s="214"/>
      <c r="K258" s="214"/>
      <c r="L258" s="214"/>
      <c r="M258" s="214"/>
      <c r="N258" s="214"/>
      <c r="O258" s="214"/>
      <c r="P258" s="214"/>
    </row>
    <row r="259" spans="1:16" outlineLevel="5">
      <c r="A259" s="220" t="s">
        <v>623</v>
      </c>
      <c r="B259" s="220" t="s">
        <v>4</v>
      </c>
      <c r="C259" s="220" t="s">
        <v>239</v>
      </c>
      <c r="D259" s="220" t="s">
        <v>1353</v>
      </c>
      <c r="E259" s="220" t="s">
        <v>314</v>
      </c>
      <c r="F259" s="222">
        <v>200</v>
      </c>
      <c r="G259" s="222">
        <v>0</v>
      </c>
      <c r="H259" s="222">
        <v>0</v>
      </c>
      <c r="I259" s="218"/>
      <c r="J259" s="214"/>
      <c r="K259" s="214"/>
      <c r="L259" s="214"/>
      <c r="M259" s="214"/>
      <c r="N259" s="214"/>
      <c r="O259" s="214"/>
      <c r="P259" s="214"/>
    </row>
    <row r="260" spans="1:16" ht="25.5" outlineLevel="4">
      <c r="A260" s="220" t="s">
        <v>1367</v>
      </c>
      <c r="B260" s="220" t="s">
        <v>4</v>
      </c>
      <c r="C260" s="220" t="s">
        <v>239</v>
      </c>
      <c r="D260" s="220" t="s">
        <v>1368</v>
      </c>
      <c r="E260" s="221"/>
      <c r="F260" s="222">
        <v>1400</v>
      </c>
      <c r="G260" s="222">
        <v>0</v>
      </c>
      <c r="H260" s="222">
        <v>0</v>
      </c>
      <c r="I260" s="218"/>
      <c r="J260" s="214"/>
      <c r="K260" s="214"/>
      <c r="L260" s="214"/>
      <c r="M260" s="214"/>
      <c r="N260" s="214"/>
      <c r="O260" s="214"/>
      <c r="P260" s="214"/>
    </row>
    <row r="261" spans="1:16" outlineLevel="5">
      <c r="A261" s="220" t="s">
        <v>623</v>
      </c>
      <c r="B261" s="220" t="s">
        <v>4</v>
      </c>
      <c r="C261" s="220" t="s">
        <v>239</v>
      </c>
      <c r="D261" s="220" t="s">
        <v>1368</v>
      </c>
      <c r="E261" s="220" t="s">
        <v>314</v>
      </c>
      <c r="F261" s="222">
        <v>1400</v>
      </c>
      <c r="G261" s="222">
        <v>0</v>
      </c>
      <c r="H261" s="222">
        <v>0</v>
      </c>
      <c r="I261" s="218"/>
      <c r="J261" s="214"/>
      <c r="K261" s="214"/>
      <c r="L261" s="214"/>
      <c r="M261" s="214"/>
      <c r="N261" s="214"/>
      <c r="O261" s="214"/>
      <c r="P261" s="214"/>
    </row>
    <row r="262" spans="1:16" outlineLevel="3">
      <c r="A262" s="220" t="s">
        <v>614</v>
      </c>
      <c r="B262" s="220" t="s">
        <v>242</v>
      </c>
      <c r="C262" s="220" t="s">
        <v>234</v>
      </c>
      <c r="D262" s="220" t="s">
        <v>403</v>
      </c>
      <c r="E262" s="221"/>
      <c r="F262" s="222">
        <v>4293.8280000000004</v>
      </c>
      <c r="G262" s="222">
        <v>8587.6560000000009</v>
      </c>
      <c r="H262" s="222">
        <v>7514.1989999999996</v>
      </c>
      <c r="I262" s="218"/>
      <c r="J262" s="214"/>
      <c r="K262" s="214"/>
      <c r="L262" s="214"/>
      <c r="M262" s="214"/>
      <c r="N262" s="214"/>
      <c r="O262" s="214"/>
      <c r="P262" s="214"/>
    </row>
    <row r="263" spans="1:16" ht="51" outlineLevel="4">
      <c r="A263" s="220" t="s">
        <v>669</v>
      </c>
      <c r="B263" s="220" t="s">
        <v>242</v>
      </c>
      <c r="C263" s="220" t="s">
        <v>234</v>
      </c>
      <c r="D263" s="220" t="s">
        <v>1135</v>
      </c>
      <c r="E263" s="221"/>
      <c r="F263" s="222">
        <v>4293.8280000000004</v>
      </c>
      <c r="G263" s="222">
        <v>8587.6560000000009</v>
      </c>
      <c r="H263" s="222">
        <v>7514.1989999999996</v>
      </c>
      <c r="I263" s="218"/>
      <c r="J263" s="214"/>
      <c r="K263" s="214"/>
      <c r="L263" s="214"/>
      <c r="M263" s="214"/>
      <c r="N263" s="214"/>
      <c r="O263" s="214"/>
      <c r="P263" s="214"/>
    </row>
    <row r="264" spans="1:16" ht="38.25" outlineLevel="5">
      <c r="A264" s="220" t="s">
        <v>670</v>
      </c>
      <c r="B264" s="220" t="s">
        <v>242</v>
      </c>
      <c r="C264" s="220" t="s">
        <v>234</v>
      </c>
      <c r="D264" s="220" t="s">
        <v>1135</v>
      </c>
      <c r="E264" s="220" t="s">
        <v>317</v>
      </c>
      <c r="F264" s="222">
        <v>4293.8280000000004</v>
      </c>
      <c r="G264" s="222">
        <v>8587.6560000000009</v>
      </c>
      <c r="H264" s="222">
        <v>7514.1989999999996</v>
      </c>
      <c r="I264" s="218"/>
      <c r="J264" s="214"/>
      <c r="K264" s="214"/>
      <c r="L264" s="214"/>
      <c r="M264" s="214"/>
      <c r="N264" s="214"/>
      <c r="O264" s="214"/>
      <c r="P264" s="214"/>
    </row>
    <row r="265" spans="1:16" ht="38.25" outlineLevel="1">
      <c r="A265" s="220" t="s">
        <v>690</v>
      </c>
      <c r="B265" s="221"/>
      <c r="C265" s="221"/>
      <c r="D265" s="220" t="s">
        <v>527</v>
      </c>
      <c r="E265" s="221"/>
      <c r="F265" s="222">
        <v>125</v>
      </c>
      <c r="G265" s="222">
        <v>125</v>
      </c>
      <c r="H265" s="222">
        <v>125</v>
      </c>
      <c r="I265" s="218"/>
      <c r="J265" s="214"/>
      <c r="K265" s="214"/>
      <c r="L265" s="214"/>
      <c r="M265" s="214"/>
      <c r="N265" s="214"/>
      <c r="O265" s="214"/>
      <c r="P265" s="214"/>
    </row>
    <row r="266" spans="1:16" ht="38.25" outlineLevel="2">
      <c r="A266" s="220" t="s">
        <v>691</v>
      </c>
      <c r="B266" s="221"/>
      <c r="C266" s="221"/>
      <c r="D266" s="220" t="s">
        <v>528</v>
      </c>
      <c r="E266" s="221"/>
      <c r="F266" s="222">
        <v>125</v>
      </c>
      <c r="G266" s="222">
        <v>125</v>
      </c>
      <c r="H266" s="222">
        <v>125</v>
      </c>
      <c r="I266" s="218"/>
      <c r="J266" s="214"/>
      <c r="K266" s="214"/>
      <c r="L266" s="214"/>
      <c r="M266" s="214"/>
      <c r="N266" s="214"/>
      <c r="O266" s="214"/>
      <c r="P266" s="214"/>
    </row>
    <row r="267" spans="1:16" outlineLevel="3">
      <c r="A267" s="220" t="s">
        <v>659</v>
      </c>
      <c r="B267" s="220" t="s">
        <v>242</v>
      </c>
      <c r="C267" s="220" t="s">
        <v>241</v>
      </c>
      <c r="D267" s="220" t="s">
        <v>528</v>
      </c>
      <c r="E267" s="221"/>
      <c r="F267" s="222">
        <v>125</v>
      </c>
      <c r="G267" s="222">
        <v>125</v>
      </c>
      <c r="H267" s="222">
        <v>125</v>
      </c>
      <c r="I267" s="218"/>
      <c r="J267" s="214"/>
      <c r="K267" s="214"/>
      <c r="L267" s="214"/>
      <c r="M267" s="214"/>
      <c r="N267" s="214"/>
      <c r="O267" s="214"/>
      <c r="P267" s="214"/>
    </row>
    <row r="268" spans="1:16" ht="76.5" outlineLevel="4">
      <c r="A268" s="220" t="s">
        <v>1136</v>
      </c>
      <c r="B268" s="220" t="s">
        <v>242</v>
      </c>
      <c r="C268" s="220" t="s">
        <v>241</v>
      </c>
      <c r="D268" s="220" t="s">
        <v>977</v>
      </c>
      <c r="E268" s="221"/>
      <c r="F268" s="222">
        <v>125</v>
      </c>
      <c r="G268" s="222">
        <v>125</v>
      </c>
      <c r="H268" s="222">
        <v>125</v>
      </c>
      <c r="I268" s="218"/>
      <c r="J268" s="214"/>
      <c r="K268" s="214"/>
      <c r="L268" s="214"/>
      <c r="M268" s="214"/>
      <c r="N268" s="214"/>
      <c r="O268" s="214"/>
      <c r="P268" s="214"/>
    </row>
    <row r="269" spans="1:16" ht="25.5" outlineLevel="5">
      <c r="A269" s="220" t="s">
        <v>617</v>
      </c>
      <c r="B269" s="220" t="s">
        <v>242</v>
      </c>
      <c r="C269" s="220" t="s">
        <v>241</v>
      </c>
      <c r="D269" s="220" t="s">
        <v>977</v>
      </c>
      <c r="E269" s="220" t="s">
        <v>318</v>
      </c>
      <c r="F269" s="222">
        <v>125</v>
      </c>
      <c r="G269" s="222">
        <v>125</v>
      </c>
      <c r="H269" s="222">
        <v>125</v>
      </c>
      <c r="I269" s="218"/>
      <c r="J269" s="214"/>
      <c r="K269" s="214"/>
      <c r="L269" s="214"/>
      <c r="M269" s="214"/>
      <c r="N269" s="214"/>
      <c r="O269" s="214"/>
      <c r="P269" s="214"/>
    </row>
    <row r="270" spans="1:16" ht="25.5" outlineLevel="1">
      <c r="A270" s="220" t="s">
        <v>692</v>
      </c>
      <c r="B270" s="221"/>
      <c r="C270" s="221"/>
      <c r="D270" s="220" t="s">
        <v>515</v>
      </c>
      <c r="E270" s="221"/>
      <c r="F270" s="222">
        <v>40155.695</v>
      </c>
      <c r="G270" s="222">
        <v>27718.695</v>
      </c>
      <c r="H270" s="222">
        <v>27718.695</v>
      </c>
      <c r="I270" s="218"/>
      <c r="J270" s="214"/>
      <c r="K270" s="214"/>
      <c r="L270" s="214"/>
      <c r="M270" s="214"/>
      <c r="N270" s="214"/>
      <c r="O270" s="214"/>
      <c r="P270" s="214"/>
    </row>
    <row r="271" spans="1:16" ht="25.5" outlineLevel="2">
      <c r="A271" s="220" t="s">
        <v>1137</v>
      </c>
      <c r="B271" s="221"/>
      <c r="C271" s="221"/>
      <c r="D271" s="220" t="s">
        <v>516</v>
      </c>
      <c r="E271" s="221"/>
      <c r="F271" s="222">
        <v>40155.695</v>
      </c>
      <c r="G271" s="222">
        <v>27718.695</v>
      </c>
      <c r="H271" s="222">
        <v>27718.695</v>
      </c>
      <c r="I271" s="218"/>
      <c r="J271" s="214"/>
      <c r="K271" s="214"/>
      <c r="L271" s="214"/>
      <c r="M271" s="214"/>
      <c r="N271" s="214"/>
      <c r="O271" s="214"/>
      <c r="P271" s="214"/>
    </row>
    <row r="272" spans="1:16" outlineLevel="3">
      <c r="A272" s="220" t="s">
        <v>1303</v>
      </c>
      <c r="B272" s="220" t="s">
        <v>4</v>
      </c>
      <c r="C272" s="220" t="s">
        <v>237</v>
      </c>
      <c r="D272" s="220" t="s">
        <v>516</v>
      </c>
      <c r="E272" s="221"/>
      <c r="F272" s="222">
        <v>4330</v>
      </c>
      <c r="G272" s="222">
        <v>0</v>
      </c>
      <c r="H272" s="222">
        <v>0</v>
      </c>
      <c r="I272" s="218"/>
      <c r="J272" s="214"/>
      <c r="K272" s="214"/>
      <c r="L272" s="214"/>
      <c r="M272" s="214"/>
      <c r="N272" s="214"/>
      <c r="O272" s="214"/>
      <c r="P272" s="214"/>
    </row>
    <row r="273" spans="1:16" ht="25.5" outlineLevel="4">
      <c r="A273" s="220" t="s">
        <v>1304</v>
      </c>
      <c r="B273" s="220" t="s">
        <v>4</v>
      </c>
      <c r="C273" s="220" t="s">
        <v>237</v>
      </c>
      <c r="D273" s="220" t="s">
        <v>1305</v>
      </c>
      <c r="E273" s="221"/>
      <c r="F273" s="222">
        <v>4300</v>
      </c>
      <c r="G273" s="222">
        <v>0</v>
      </c>
      <c r="H273" s="222">
        <v>0</v>
      </c>
      <c r="I273" s="218"/>
      <c r="J273" s="214"/>
      <c r="K273" s="214"/>
      <c r="L273" s="214"/>
      <c r="M273" s="214"/>
      <c r="N273" s="214"/>
      <c r="O273" s="214"/>
      <c r="P273" s="214"/>
    </row>
    <row r="274" spans="1:16" ht="38.25" outlineLevel="5">
      <c r="A274" s="220" t="s">
        <v>670</v>
      </c>
      <c r="B274" s="220" t="s">
        <v>4</v>
      </c>
      <c r="C274" s="220" t="s">
        <v>237</v>
      </c>
      <c r="D274" s="220" t="s">
        <v>1305</v>
      </c>
      <c r="E274" s="220" t="s">
        <v>317</v>
      </c>
      <c r="F274" s="222">
        <v>4300</v>
      </c>
      <c r="G274" s="222">
        <v>0</v>
      </c>
      <c r="H274" s="222">
        <v>0</v>
      </c>
      <c r="I274" s="218"/>
      <c r="J274" s="214"/>
      <c r="K274" s="214"/>
      <c r="L274" s="214"/>
      <c r="M274" s="214"/>
      <c r="N274" s="214"/>
      <c r="O274" s="214"/>
      <c r="P274" s="214"/>
    </row>
    <row r="275" spans="1:16" ht="25.5" outlineLevel="4">
      <c r="A275" s="220" t="s">
        <v>1369</v>
      </c>
      <c r="B275" s="220" t="s">
        <v>4</v>
      </c>
      <c r="C275" s="220" t="s">
        <v>237</v>
      </c>
      <c r="D275" s="220" t="s">
        <v>1370</v>
      </c>
      <c r="E275" s="221"/>
      <c r="F275" s="222">
        <v>30</v>
      </c>
      <c r="G275" s="222">
        <v>0</v>
      </c>
      <c r="H275" s="222">
        <v>0</v>
      </c>
      <c r="I275" s="218"/>
      <c r="J275" s="214"/>
      <c r="K275" s="214"/>
      <c r="L275" s="214"/>
      <c r="M275" s="214"/>
      <c r="N275" s="214"/>
      <c r="O275" s="214"/>
      <c r="P275" s="214"/>
    </row>
    <row r="276" spans="1:16" ht="38.25" outlineLevel="5">
      <c r="A276" s="220" t="s">
        <v>616</v>
      </c>
      <c r="B276" s="220" t="s">
        <v>4</v>
      </c>
      <c r="C276" s="220" t="s">
        <v>237</v>
      </c>
      <c r="D276" s="220" t="s">
        <v>1370</v>
      </c>
      <c r="E276" s="220" t="s">
        <v>313</v>
      </c>
      <c r="F276" s="222">
        <v>30</v>
      </c>
      <c r="G276" s="222">
        <v>0</v>
      </c>
      <c r="H276" s="222">
        <v>0</v>
      </c>
      <c r="I276" s="218"/>
      <c r="J276" s="214"/>
      <c r="K276" s="214"/>
      <c r="L276" s="214"/>
      <c r="M276" s="214"/>
      <c r="N276" s="214"/>
      <c r="O276" s="214"/>
      <c r="P276" s="214"/>
    </row>
    <row r="277" spans="1:16" outlineLevel="3">
      <c r="A277" s="220" t="s">
        <v>710</v>
      </c>
      <c r="B277" s="220" t="s">
        <v>4</v>
      </c>
      <c r="C277" s="220" t="s">
        <v>241</v>
      </c>
      <c r="D277" s="220" t="s">
        <v>516</v>
      </c>
      <c r="E277" s="221"/>
      <c r="F277" s="222">
        <v>35825.695</v>
      </c>
      <c r="G277" s="222">
        <v>27718.695</v>
      </c>
      <c r="H277" s="222">
        <v>27718.695</v>
      </c>
      <c r="I277" s="218"/>
      <c r="J277" s="214"/>
      <c r="K277" s="214"/>
      <c r="L277" s="214"/>
      <c r="M277" s="214"/>
      <c r="N277" s="214"/>
      <c r="O277" s="214"/>
      <c r="P277" s="214"/>
    </row>
    <row r="278" spans="1:16" ht="25.5" outlineLevel="4">
      <c r="A278" s="220" t="s">
        <v>957</v>
      </c>
      <c r="B278" s="220" t="s">
        <v>4</v>
      </c>
      <c r="C278" s="220" t="s">
        <v>241</v>
      </c>
      <c r="D278" s="220" t="s">
        <v>1138</v>
      </c>
      <c r="E278" s="221"/>
      <c r="F278" s="222">
        <v>22461.895</v>
      </c>
      <c r="G278" s="222">
        <v>22461.895</v>
      </c>
      <c r="H278" s="222">
        <v>22461.895</v>
      </c>
      <c r="I278" s="218"/>
      <c r="J278" s="214"/>
      <c r="K278" s="214"/>
      <c r="L278" s="214"/>
      <c r="M278" s="214"/>
      <c r="N278" s="214"/>
      <c r="O278" s="214"/>
      <c r="P278" s="214"/>
    </row>
    <row r="279" spans="1:16" ht="38.25" outlineLevel="5">
      <c r="A279" s="220" t="s">
        <v>612</v>
      </c>
      <c r="B279" s="220" t="s">
        <v>4</v>
      </c>
      <c r="C279" s="220" t="s">
        <v>241</v>
      </c>
      <c r="D279" s="220" t="s">
        <v>1138</v>
      </c>
      <c r="E279" s="220" t="s">
        <v>315</v>
      </c>
      <c r="F279" s="222">
        <v>22461.895</v>
      </c>
      <c r="G279" s="222">
        <v>22461.895</v>
      </c>
      <c r="H279" s="222">
        <v>22461.895</v>
      </c>
      <c r="I279" s="218"/>
      <c r="J279" s="214"/>
      <c r="K279" s="214"/>
      <c r="L279" s="214"/>
      <c r="M279" s="214"/>
      <c r="N279" s="214"/>
      <c r="O279" s="214"/>
      <c r="P279" s="214"/>
    </row>
    <row r="280" spans="1:16" ht="25.5" outlineLevel="4">
      <c r="A280" s="220" t="s">
        <v>711</v>
      </c>
      <c r="B280" s="220" t="s">
        <v>4</v>
      </c>
      <c r="C280" s="220" t="s">
        <v>241</v>
      </c>
      <c r="D280" s="220" t="s">
        <v>1139</v>
      </c>
      <c r="E280" s="221"/>
      <c r="F280" s="222">
        <v>5256.8</v>
      </c>
      <c r="G280" s="222">
        <v>5256.8</v>
      </c>
      <c r="H280" s="222">
        <v>5256.8</v>
      </c>
      <c r="I280" s="218"/>
      <c r="J280" s="214"/>
      <c r="K280" s="214"/>
      <c r="L280" s="214"/>
      <c r="M280" s="214"/>
      <c r="N280" s="214"/>
      <c r="O280" s="214"/>
      <c r="P280" s="214"/>
    </row>
    <row r="281" spans="1:16" ht="38.25" outlineLevel="5">
      <c r="A281" s="220" t="s">
        <v>612</v>
      </c>
      <c r="B281" s="220" t="s">
        <v>4</v>
      </c>
      <c r="C281" s="220" t="s">
        <v>241</v>
      </c>
      <c r="D281" s="220" t="s">
        <v>1139</v>
      </c>
      <c r="E281" s="220" t="s">
        <v>315</v>
      </c>
      <c r="F281" s="222">
        <v>5256.8</v>
      </c>
      <c r="G281" s="222">
        <v>5256.8</v>
      </c>
      <c r="H281" s="222">
        <v>5256.8</v>
      </c>
      <c r="I281" s="218"/>
      <c r="J281" s="214"/>
      <c r="K281" s="214"/>
      <c r="L281" s="214"/>
      <c r="M281" s="214"/>
      <c r="N281" s="214"/>
      <c r="O281" s="214"/>
      <c r="P281" s="214"/>
    </row>
    <row r="282" spans="1:16" ht="25.5" outlineLevel="4">
      <c r="A282" s="220" t="s">
        <v>1304</v>
      </c>
      <c r="B282" s="220" t="s">
        <v>4</v>
      </c>
      <c r="C282" s="220" t="s">
        <v>241</v>
      </c>
      <c r="D282" s="220" t="s">
        <v>1305</v>
      </c>
      <c r="E282" s="221"/>
      <c r="F282" s="222">
        <v>7590</v>
      </c>
      <c r="G282" s="222">
        <v>0</v>
      </c>
      <c r="H282" s="222">
        <v>0</v>
      </c>
      <c r="I282" s="218"/>
      <c r="J282" s="214"/>
      <c r="K282" s="214"/>
      <c r="L282" s="214"/>
      <c r="M282" s="214"/>
      <c r="N282" s="214"/>
      <c r="O282" s="214"/>
      <c r="P282" s="214"/>
    </row>
    <row r="283" spans="1:16" ht="38.25" outlineLevel="5">
      <c r="A283" s="220" t="s">
        <v>670</v>
      </c>
      <c r="B283" s="220" t="s">
        <v>4</v>
      </c>
      <c r="C283" s="220" t="s">
        <v>241</v>
      </c>
      <c r="D283" s="220" t="s">
        <v>1305</v>
      </c>
      <c r="E283" s="220" t="s">
        <v>317</v>
      </c>
      <c r="F283" s="222">
        <v>7590</v>
      </c>
      <c r="G283" s="222">
        <v>0</v>
      </c>
      <c r="H283" s="222">
        <v>0</v>
      </c>
      <c r="I283" s="218"/>
      <c r="J283" s="214"/>
      <c r="K283" s="214"/>
      <c r="L283" s="214"/>
      <c r="M283" s="214"/>
      <c r="N283" s="214"/>
      <c r="O283" s="214"/>
      <c r="P283" s="214"/>
    </row>
    <row r="284" spans="1:16" ht="25.5" outlineLevel="4">
      <c r="A284" s="220" t="s">
        <v>942</v>
      </c>
      <c r="B284" s="220" t="s">
        <v>4</v>
      </c>
      <c r="C284" s="220" t="s">
        <v>241</v>
      </c>
      <c r="D284" s="220" t="s">
        <v>1140</v>
      </c>
      <c r="E284" s="221"/>
      <c r="F284" s="222">
        <v>517</v>
      </c>
      <c r="G284" s="222">
        <v>0</v>
      </c>
      <c r="H284" s="222">
        <v>0</v>
      </c>
      <c r="I284" s="218"/>
      <c r="J284" s="214"/>
      <c r="K284" s="214"/>
      <c r="L284" s="214"/>
      <c r="M284" s="214"/>
      <c r="N284" s="214"/>
      <c r="O284" s="214"/>
      <c r="P284" s="214"/>
    </row>
    <row r="285" spans="1:16" ht="38.25" outlineLevel="5">
      <c r="A285" s="220" t="s">
        <v>612</v>
      </c>
      <c r="B285" s="220" t="s">
        <v>4</v>
      </c>
      <c r="C285" s="220" t="s">
        <v>241</v>
      </c>
      <c r="D285" s="220" t="s">
        <v>1140</v>
      </c>
      <c r="E285" s="220" t="s">
        <v>315</v>
      </c>
      <c r="F285" s="222">
        <v>517</v>
      </c>
      <c r="G285" s="222">
        <v>0</v>
      </c>
      <c r="H285" s="222">
        <v>0</v>
      </c>
      <c r="I285" s="218"/>
      <c r="J285" s="214"/>
      <c r="K285" s="214"/>
      <c r="L285" s="214"/>
      <c r="M285" s="214"/>
      <c r="N285" s="214"/>
      <c r="O285" s="214"/>
      <c r="P285" s="214"/>
    </row>
    <row r="286" spans="1:16" ht="25.5" outlineLevel="1">
      <c r="A286" s="220" t="s">
        <v>1141</v>
      </c>
      <c r="B286" s="221"/>
      <c r="C286" s="221"/>
      <c r="D286" s="220" t="s">
        <v>1142</v>
      </c>
      <c r="E286" s="221"/>
      <c r="F286" s="222">
        <v>324</v>
      </c>
      <c r="G286" s="222">
        <v>324</v>
      </c>
      <c r="H286" s="222">
        <v>324</v>
      </c>
      <c r="I286" s="218"/>
      <c r="J286" s="214"/>
      <c r="K286" s="214"/>
      <c r="L286" s="214"/>
      <c r="M286" s="214"/>
      <c r="N286" s="214"/>
      <c r="O286" s="214"/>
      <c r="P286" s="214"/>
    </row>
    <row r="287" spans="1:16" ht="25.5" outlineLevel="2">
      <c r="A287" s="220" t="s">
        <v>658</v>
      </c>
      <c r="B287" s="221"/>
      <c r="C287" s="221"/>
      <c r="D287" s="220" t="s">
        <v>1143</v>
      </c>
      <c r="E287" s="221"/>
      <c r="F287" s="222">
        <v>324</v>
      </c>
      <c r="G287" s="222">
        <v>324</v>
      </c>
      <c r="H287" s="222">
        <v>324</v>
      </c>
      <c r="I287" s="218"/>
      <c r="J287" s="214"/>
      <c r="K287" s="214"/>
      <c r="L287" s="214"/>
      <c r="M287" s="214"/>
      <c r="N287" s="214"/>
      <c r="O287" s="214"/>
      <c r="P287" s="214"/>
    </row>
    <row r="288" spans="1:16" outlineLevel="3">
      <c r="A288" s="220" t="s">
        <v>659</v>
      </c>
      <c r="B288" s="220" t="s">
        <v>242</v>
      </c>
      <c r="C288" s="220" t="s">
        <v>241</v>
      </c>
      <c r="D288" s="220" t="s">
        <v>1143</v>
      </c>
      <c r="E288" s="221"/>
      <c r="F288" s="222">
        <v>324</v>
      </c>
      <c r="G288" s="222">
        <v>324</v>
      </c>
      <c r="H288" s="222">
        <v>324</v>
      </c>
      <c r="I288" s="218"/>
      <c r="J288" s="214"/>
      <c r="K288" s="214"/>
      <c r="L288" s="214"/>
      <c r="M288" s="214"/>
      <c r="N288" s="214"/>
      <c r="O288" s="214"/>
      <c r="P288" s="214"/>
    </row>
    <row r="289" spans="1:16" ht="38.25" outlineLevel="4">
      <c r="A289" s="220" t="s">
        <v>976</v>
      </c>
      <c r="B289" s="220" t="s">
        <v>242</v>
      </c>
      <c r="C289" s="220" t="s">
        <v>241</v>
      </c>
      <c r="D289" s="220" t="s">
        <v>1144</v>
      </c>
      <c r="E289" s="221"/>
      <c r="F289" s="222">
        <v>324</v>
      </c>
      <c r="G289" s="222">
        <v>324</v>
      </c>
      <c r="H289" s="222">
        <v>324</v>
      </c>
      <c r="I289" s="218"/>
      <c r="J289" s="214"/>
      <c r="K289" s="214"/>
      <c r="L289" s="214"/>
      <c r="M289" s="214"/>
      <c r="N289" s="214"/>
      <c r="O289" s="214"/>
      <c r="P289" s="214"/>
    </row>
    <row r="290" spans="1:16" ht="25.5" outlineLevel="5">
      <c r="A290" s="220" t="s">
        <v>617</v>
      </c>
      <c r="B290" s="220" t="s">
        <v>242</v>
      </c>
      <c r="C290" s="220" t="s">
        <v>241</v>
      </c>
      <c r="D290" s="220" t="s">
        <v>1144</v>
      </c>
      <c r="E290" s="220" t="s">
        <v>318</v>
      </c>
      <c r="F290" s="222">
        <v>324</v>
      </c>
      <c r="G290" s="222">
        <v>324</v>
      </c>
      <c r="H290" s="222">
        <v>324</v>
      </c>
      <c r="I290" s="218"/>
      <c r="J290" s="214"/>
      <c r="K290" s="214"/>
      <c r="L290" s="214"/>
      <c r="M290" s="214"/>
      <c r="N290" s="214"/>
      <c r="O290" s="214"/>
      <c r="P290" s="214"/>
    </row>
    <row r="291" spans="1:16" ht="38.25">
      <c r="A291" s="220" t="s">
        <v>494</v>
      </c>
      <c r="B291" s="221"/>
      <c r="C291" s="221"/>
      <c r="D291" s="220" t="s">
        <v>412</v>
      </c>
      <c r="E291" s="221"/>
      <c r="F291" s="222">
        <v>78090.808680000002</v>
      </c>
      <c r="G291" s="222">
        <v>58530.520149999997</v>
      </c>
      <c r="H291" s="222">
        <v>55851.337030000002</v>
      </c>
      <c r="I291" s="218"/>
      <c r="J291" s="214"/>
      <c r="K291" s="214"/>
      <c r="L291" s="214"/>
      <c r="M291" s="214"/>
      <c r="N291" s="214"/>
      <c r="O291" s="214"/>
      <c r="P291" s="214"/>
    </row>
    <row r="292" spans="1:16" ht="63.75" outlineLevel="1">
      <c r="A292" s="220" t="s">
        <v>693</v>
      </c>
      <c r="B292" s="221"/>
      <c r="C292" s="221"/>
      <c r="D292" s="220" t="s">
        <v>413</v>
      </c>
      <c r="E292" s="221"/>
      <c r="F292" s="222">
        <v>70606.808680000002</v>
      </c>
      <c r="G292" s="222">
        <v>58530.520149999997</v>
      </c>
      <c r="H292" s="222">
        <v>55851.337030000002</v>
      </c>
      <c r="I292" s="218"/>
      <c r="J292" s="214"/>
      <c r="K292" s="214"/>
      <c r="L292" s="214"/>
      <c r="M292" s="214"/>
      <c r="N292" s="214"/>
      <c r="O292" s="214"/>
      <c r="P292" s="214"/>
    </row>
    <row r="293" spans="1:16" ht="63.75" outlineLevel="2">
      <c r="A293" s="220" t="s">
        <v>750</v>
      </c>
      <c r="B293" s="221"/>
      <c r="C293" s="221"/>
      <c r="D293" s="220" t="s">
        <v>414</v>
      </c>
      <c r="E293" s="221"/>
      <c r="F293" s="222">
        <v>70606.808680000002</v>
      </c>
      <c r="G293" s="222">
        <v>58530.520149999997</v>
      </c>
      <c r="H293" s="222">
        <v>55851.337030000002</v>
      </c>
      <c r="I293" s="218"/>
      <c r="J293" s="214"/>
      <c r="K293" s="214"/>
      <c r="L293" s="214"/>
      <c r="M293" s="214"/>
      <c r="N293" s="214"/>
      <c r="O293" s="214"/>
      <c r="P293" s="214"/>
    </row>
    <row r="294" spans="1:16" outlineLevel="3">
      <c r="A294" s="220" t="s">
        <v>694</v>
      </c>
      <c r="B294" s="220" t="s">
        <v>234</v>
      </c>
      <c r="C294" s="220" t="s">
        <v>240</v>
      </c>
      <c r="D294" s="220" t="s">
        <v>414</v>
      </c>
      <c r="E294" s="221"/>
      <c r="F294" s="222">
        <v>70606.808680000002</v>
      </c>
      <c r="G294" s="222">
        <v>58530.520149999997</v>
      </c>
      <c r="H294" s="222">
        <v>55851.337030000002</v>
      </c>
      <c r="I294" s="218"/>
      <c r="J294" s="214"/>
      <c r="K294" s="214"/>
      <c r="L294" s="214"/>
      <c r="M294" s="214"/>
      <c r="N294" s="214"/>
      <c r="O294" s="214"/>
      <c r="P294" s="214"/>
    </row>
    <row r="295" spans="1:16" ht="25.5" outlineLevel="4">
      <c r="A295" s="220" t="s">
        <v>957</v>
      </c>
      <c r="B295" s="220" t="s">
        <v>234</v>
      </c>
      <c r="C295" s="220" t="s">
        <v>240</v>
      </c>
      <c r="D295" s="220" t="s">
        <v>967</v>
      </c>
      <c r="E295" s="221"/>
      <c r="F295" s="222">
        <v>4493.0529999999999</v>
      </c>
      <c r="G295" s="222">
        <v>4089.6871999999998</v>
      </c>
      <c r="H295" s="222">
        <v>4089.6871999999998</v>
      </c>
      <c r="I295" s="218"/>
      <c r="J295" s="214"/>
      <c r="K295" s="214"/>
      <c r="L295" s="214"/>
      <c r="M295" s="214"/>
      <c r="N295" s="214"/>
      <c r="O295" s="214"/>
      <c r="P295" s="214"/>
    </row>
    <row r="296" spans="1:16" ht="38.25" outlineLevel="5">
      <c r="A296" s="220" t="s">
        <v>612</v>
      </c>
      <c r="B296" s="220" t="s">
        <v>234</v>
      </c>
      <c r="C296" s="220" t="s">
        <v>240</v>
      </c>
      <c r="D296" s="220" t="s">
        <v>967</v>
      </c>
      <c r="E296" s="220" t="s">
        <v>315</v>
      </c>
      <c r="F296" s="222">
        <v>4493.0529999999999</v>
      </c>
      <c r="G296" s="222">
        <v>4089.6871999999998</v>
      </c>
      <c r="H296" s="222">
        <v>4089.6871999999998</v>
      </c>
      <c r="I296" s="218"/>
      <c r="J296" s="214"/>
      <c r="K296" s="214"/>
      <c r="L296" s="214"/>
      <c r="M296" s="214"/>
      <c r="N296" s="214"/>
      <c r="O296" s="214"/>
      <c r="P296" s="214"/>
    </row>
    <row r="297" spans="1:16" ht="51" outlineLevel="4">
      <c r="A297" s="220" t="s">
        <v>695</v>
      </c>
      <c r="B297" s="220" t="s">
        <v>234</v>
      </c>
      <c r="C297" s="220" t="s">
        <v>240</v>
      </c>
      <c r="D297" s="220" t="s">
        <v>415</v>
      </c>
      <c r="E297" s="221"/>
      <c r="F297" s="222">
        <v>62684.522109999998</v>
      </c>
      <c r="G297" s="222">
        <v>51637.59938</v>
      </c>
      <c r="H297" s="222">
        <v>48958.416259999998</v>
      </c>
      <c r="I297" s="218"/>
      <c r="J297" s="214"/>
      <c r="K297" s="214"/>
      <c r="L297" s="214"/>
      <c r="M297" s="214"/>
      <c r="N297" s="214"/>
      <c r="O297" s="214"/>
      <c r="P297" s="214"/>
    </row>
    <row r="298" spans="1:16" ht="38.25" outlineLevel="5">
      <c r="A298" s="220" t="s">
        <v>612</v>
      </c>
      <c r="B298" s="220" t="s">
        <v>234</v>
      </c>
      <c r="C298" s="220" t="s">
        <v>240</v>
      </c>
      <c r="D298" s="220" t="s">
        <v>415</v>
      </c>
      <c r="E298" s="220" t="s">
        <v>315</v>
      </c>
      <c r="F298" s="222">
        <v>62684.522109999998</v>
      </c>
      <c r="G298" s="222">
        <v>51637.59938</v>
      </c>
      <c r="H298" s="222">
        <v>48958.416259999998</v>
      </c>
      <c r="I298" s="218"/>
      <c r="J298" s="214"/>
      <c r="K298" s="214"/>
      <c r="L298" s="214"/>
      <c r="M298" s="214"/>
      <c r="N298" s="214"/>
      <c r="O298" s="214"/>
      <c r="P298" s="214"/>
    </row>
    <row r="299" spans="1:16" ht="25.5" outlineLevel="4">
      <c r="A299" s="220" t="s">
        <v>696</v>
      </c>
      <c r="B299" s="220" t="s">
        <v>234</v>
      </c>
      <c r="C299" s="220" t="s">
        <v>240</v>
      </c>
      <c r="D299" s="220" t="s">
        <v>498</v>
      </c>
      <c r="E299" s="221"/>
      <c r="F299" s="222">
        <v>2803.2335699999999</v>
      </c>
      <c r="G299" s="222">
        <v>2803.2335699999999</v>
      </c>
      <c r="H299" s="222">
        <v>2803.2335699999999</v>
      </c>
      <c r="I299" s="218"/>
      <c r="J299" s="214"/>
      <c r="K299" s="214"/>
      <c r="L299" s="214"/>
      <c r="M299" s="214"/>
      <c r="N299" s="214"/>
      <c r="O299" s="214"/>
      <c r="P299" s="214"/>
    </row>
    <row r="300" spans="1:16" ht="38.25" outlineLevel="5">
      <c r="A300" s="220" t="s">
        <v>612</v>
      </c>
      <c r="B300" s="220" t="s">
        <v>234</v>
      </c>
      <c r="C300" s="220" t="s">
        <v>240</v>
      </c>
      <c r="D300" s="220" t="s">
        <v>498</v>
      </c>
      <c r="E300" s="220" t="s">
        <v>315</v>
      </c>
      <c r="F300" s="222">
        <v>2803.2335699999999</v>
      </c>
      <c r="G300" s="222">
        <v>2803.2335699999999</v>
      </c>
      <c r="H300" s="222">
        <v>2803.2335699999999</v>
      </c>
      <c r="I300" s="218"/>
      <c r="J300" s="214"/>
      <c r="K300" s="214"/>
      <c r="L300" s="214"/>
      <c r="M300" s="214"/>
      <c r="N300" s="214"/>
      <c r="O300" s="214"/>
      <c r="P300" s="214"/>
    </row>
    <row r="301" spans="1:16" ht="25.5" outlineLevel="4">
      <c r="A301" s="220" t="s">
        <v>1304</v>
      </c>
      <c r="B301" s="220" t="s">
        <v>234</v>
      </c>
      <c r="C301" s="220" t="s">
        <v>240</v>
      </c>
      <c r="D301" s="220" t="s">
        <v>1306</v>
      </c>
      <c r="E301" s="221"/>
      <c r="F301" s="222">
        <v>626</v>
      </c>
      <c r="G301" s="222">
        <v>0</v>
      </c>
      <c r="H301" s="222">
        <v>0</v>
      </c>
      <c r="I301" s="218"/>
      <c r="J301" s="214"/>
      <c r="K301" s="214"/>
      <c r="L301" s="214"/>
      <c r="M301" s="214"/>
      <c r="N301" s="214"/>
      <c r="O301" s="214"/>
      <c r="P301" s="214"/>
    </row>
    <row r="302" spans="1:16" ht="38.25" outlineLevel="5">
      <c r="A302" s="220" t="s">
        <v>612</v>
      </c>
      <c r="B302" s="220" t="s">
        <v>234</v>
      </c>
      <c r="C302" s="220" t="s">
        <v>240</v>
      </c>
      <c r="D302" s="220" t="s">
        <v>1306</v>
      </c>
      <c r="E302" s="220" t="s">
        <v>315</v>
      </c>
      <c r="F302" s="222">
        <v>626</v>
      </c>
      <c r="G302" s="222">
        <v>0</v>
      </c>
      <c r="H302" s="222">
        <v>0</v>
      </c>
      <c r="I302" s="218"/>
      <c r="J302" s="214"/>
      <c r="K302" s="214"/>
      <c r="L302" s="214"/>
      <c r="M302" s="214"/>
      <c r="N302" s="214"/>
      <c r="O302" s="214"/>
      <c r="P302" s="214"/>
    </row>
    <row r="303" spans="1:16" ht="51" outlineLevel="1">
      <c r="A303" s="220" t="s">
        <v>697</v>
      </c>
      <c r="B303" s="221"/>
      <c r="C303" s="221"/>
      <c r="D303" s="220" t="s">
        <v>416</v>
      </c>
      <c r="E303" s="221"/>
      <c r="F303" s="222">
        <v>7484</v>
      </c>
      <c r="G303" s="222">
        <v>0</v>
      </c>
      <c r="H303" s="222">
        <v>0</v>
      </c>
      <c r="I303" s="218"/>
      <c r="J303" s="214"/>
      <c r="K303" s="214"/>
      <c r="L303" s="214"/>
      <c r="M303" s="214"/>
      <c r="N303" s="214"/>
      <c r="O303" s="214"/>
      <c r="P303" s="214"/>
    </row>
    <row r="304" spans="1:16" ht="76.5" outlineLevel="2">
      <c r="A304" s="220" t="s">
        <v>698</v>
      </c>
      <c r="B304" s="221"/>
      <c r="C304" s="221"/>
      <c r="D304" s="220" t="s">
        <v>417</v>
      </c>
      <c r="E304" s="221"/>
      <c r="F304" s="222">
        <v>7484</v>
      </c>
      <c r="G304" s="222">
        <v>0</v>
      </c>
      <c r="H304" s="222">
        <v>0</v>
      </c>
      <c r="I304" s="218"/>
      <c r="J304" s="214"/>
      <c r="K304" s="214"/>
      <c r="L304" s="214"/>
      <c r="M304" s="214"/>
      <c r="N304" s="214"/>
      <c r="O304" s="214"/>
      <c r="P304" s="214"/>
    </row>
    <row r="305" spans="1:16" outlineLevel="3">
      <c r="A305" s="220" t="s">
        <v>694</v>
      </c>
      <c r="B305" s="220" t="s">
        <v>234</v>
      </c>
      <c r="C305" s="220" t="s">
        <v>240</v>
      </c>
      <c r="D305" s="220" t="s">
        <v>417</v>
      </c>
      <c r="E305" s="221"/>
      <c r="F305" s="222">
        <v>7484</v>
      </c>
      <c r="G305" s="222">
        <v>0</v>
      </c>
      <c r="H305" s="222">
        <v>0</v>
      </c>
      <c r="I305" s="218"/>
      <c r="J305" s="214"/>
      <c r="K305" s="214"/>
      <c r="L305" s="214"/>
      <c r="M305" s="214"/>
      <c r="N305" s="214"/>
      <c r="O305" s="214"/>
      <c r="P305" s="214"/>
    </row>
    <row r="306" spans="1:16" ht="25.5" outlineLevel="4">
      <c r="A306" s="220" t="s">
        <v>1304</v>
      </c>
      <c r="B306" s="220" t="s">
        <v>234</v>
      </c>
      <c r="C306" s="220" t="s">
        <v>240</v>
      </c>
      <c r="D306" s="220" t="s">
        <v>1307</v>
      </c>
      <c r="E306" s="221"/>
      <c r="F306" s="222">
        <v>4484</v>
      </c>
      <c r="G306" s="222">
        <v>0</v>
      </c>
      <c r="H306" s="222">
        <v>0</v>
      </c>
      <c r="I306" s="218"/>
      <c r="J306" s="214"/>
      <c r="K306" s="214"/>
      <c r="L306" s="214"/>
      <c r="M306" s="214"/>
      <c r="N306" s="214"/>
      <c r="O306" s="214"/>
      <c r="P306" s="214"/>
    </row>
    <row r="307" spans="1:16" ht="38.25" outlineLevel="5">
      <c r="A307" s="220" t="s">
        <v>616</v>
      </c>
      <c r="B307" s="220" t="s">
        <v>234</v>
      </c>
      <c r="C307" s="220" t="s">
        <v>240</v>
      </c>
      <c r="D307" s="220" t="s">
        <v>1307</v>
      </c>
      <c r="E307" s="220" t="s">
        <v>313</v>
      </c>
      <c r="F307" s="222">
        <v>2190</v>
      </c>
      <c r="G307" s="222">
        <v>0</v>
      </c>
      <c r="H307" s="222">
        <v>0</v>
      </c>
      <c r="I307" s="218"/>
      <c r="J307" s="214"/>
      <c r="K307" s="214"/>
      <c r="L307" s="214"/>
      <c r="M307" s="214"/>
      <c r="N307" s="214"/>
      <c r="O307" s="214"/>
      <c r="P307" s="214"/>
    </row>
    <row r="308" spans="1:16" ht="38.25" outlineLevel="5">
      <c r="A308" s="220" t="s">
        <v>612</v>
      </c>
      <c r="B308" s="220" t="s">
        <v>234</v>
      </c>
      <c r="C308" s="220" t="s">
        <v>240</v>
      </c>
      <c r="D308" s="220" t="s">
        <v>1307</v>
      </c>
      <c r="E308" s="220" t="s">
        <v>315</v>
      </c>
      <c r="F308" s="222">
        <v>2294</v>
      </c>
      <c r="G308" s="222">
        <v>0</v>
      </c>
      <c r="H308" s="222">
        <v>0</v>
      </c>
      <c r="I308" s="218"/>
      <c r="J308" s="214"/>
      <c r="K308" s="214"/>
      <c r="L308" s="214"/>
      <c r="M308" s="214"/>
      <c r="N308" s="214"/>
      <c r="O308" s="214"/>
      <c r="P308" s="214"/>
    </row>
    <row r="309" spans="1:16" ht="76.5" outlineLevel="4">
      <c r="A309" s="220" t="s">
        <v>1022</v>
      </c>
      <c r="B309" s="220" t="s">
        <v>234</v>
      </c>
      <c r="C309" s="220" t="s">
        <v>240</v>
      </c>
      <c r="D309" s="220" t="s">
        <v>753</v>
      </c>
      <c r="E309" s="221"/>
      <c r="F309" s="222">
        <v>3000</v>
      </c>
      <c r="G309" s="222">
        <v>0</v>
      </c>
      <c r="H309" s="222">
        <v>0</v>
      </c>
      <c r="I309" s="218"/>
      <c r="J309" s="214"/>
      <c r="K309" s="214"/>
      <c r="L309" s="214"/>
      <c r="M309" s="214"/>
      <c r="N309" s="214"/>
      <c r="O309" s="214"/>
      <c r="P309" s="214"/>
    </row>
    <row r="310" spans="1:16" ht="38.25" outlineLevel="5">
      <c r="A310" s="220" t="s">
        <v>612</v>
      </c>
      <c r="B310" s="220" t="s">
        <v>234</v>
      </c>
      <c r="C310" s="220" t="s">
        <v>240</v>
      </c>
      <c r="D310" s="220" t="s">
        <v>753</v>
      </c>
      <c r="E310" s="220" t="s">
        <v>315</v>
      </c>
      <c r="F310" s="222">
        <v>3000</v>
      </c>
      <c r="G310" s="222">
        <v>0</v>
      </c>
      <c r="H310" s="222">
        <v>0</v>
      </c>
      <c r="I310" s="218"/>
      <c r="J310" s="214"/>
      <c r="K310" s="214"/>
      <c r="L310" s="214"/>
      <c r="M310" s="214"/>
      <c r="N310" s="214"/>
      <c r="O310" s="214"/>
      <c r="P310" s="214"/>
    </row>
    <row r="311" spans="1:16" ht="51">
      <c r="A311" s="220" t="s">
        <v>1145</v>
      </c>
      <c r="B311" s="221"/>
      <c r="C311" s="221"/>
      <c r="D311" s="220" t="s">
        <v>418</v>
      </c>
      <c r="E311" s="221"/>
      <c r="F311" s="222">
        <v>200</v>
      </c>
      <c r="G311" s="222">
        <v>200</v>
      </c>
      <c r="H311" s="222">
        <v>200</v>
      </c>
      <c r="I311" s="218"/>
      <c r="J311" s="214"/>
      <c r="K311" s="214"/>
      <c r="L311" s="214"/>
      <c r="M311" s="214"/>
      <c r="N311" s="214"/>
      <c r="O311" s="214"/>
      <c r="P311" s="214"/>
    </row>
    <row r="312" spans="1:16" ht="38.25" outlineLevel="2">
      <c r="A312" s="220" t="s">
        <v>1146</v>
      </c>
      <c r="B312" s="221"/>
      <c r="C312" s="221"/>
      <c r="D312" s="220" t="s">
        <v>1147</v>
      </c>
      <c r="E312" s="221"/>
      <c r="F312" s="222">
        <v>200</v>
      </c>
      <c r="G312" s="222">
        <v>200</v>
      </c>
      <c r="H312" s="222">
        <v>200</v>
      </c>
      <c r="I312" s="218"/>
      <c r="J312" s="214"/>
      <c r="K312" s="214"/>
      <c r="L312" s="214"/>
      <c r="M312" s="214"/>
      <c r="N312" s="214"/>
      <c r="O312" s="214"/>
      <c r="P312" s="214"/>
    </row>
    <row r="313" spans="1:16" ht="25.5" outlineLevel="3">
      <c r="A313" s="220" t="s">
        <v>652</v>
      </c>
      <c r="B313" s="220" t="s">
        <v>234</v>
      </c>
      <c r="C313" s="220" t="s">
        <v>235</v>
      </c>
      <c r="D313" s="220" t="s">
        <v>1147</v>
      </c>
      <c r="E313" s="221"/>
      <c r="F313" s="222">
        <v>200</v>
      </c>
      <c r="G313" s="222">
        <v>200</v>
      </c>
      <c r="H313" s="222">
        <v>200</v>
      </c>
      <c r="I313" s="218"/>
      <c r="J313" s="214"/>
      <c r="K313" s="214"/>
      <c r="L313" s="214"/>
      <c r="M313" s="214"/>
      <c r="N313" s="214"/>
      <c r="O313" s="214"/>
      <c r="P313" s="214"/>
    </row>
    <row r="314" spans="1:16" ht="25.5" outlineLevel="4">
      <c r="A314" s="220" t="s">
        <v>968</v>
      </c>
      <c r="B314" s="220" t="s">
        <v>234</v>
      </c>
      <c r="C314" s="220" t="s">
        <v>235</v>
      </c>
      <c r="D314" s="220" t="s">
        <v>1148</v>
      </c>
      <c r="E314" s="221"/>
      <c r="F314" s="222">
        <v>200</v>
      </c>
      <c r="G314" s="222">
        <v>200</v>
      </c>
      <c r="H314" s="222">
        <v>200</v>
      </c>
      <c r="I314" s="218"/>
      <c r="J314" s="214"/>
      <c r="K314" s="214"/>
      <c r="L314" s="214"/>
      <c r="M314" s="214"/>
      <c r="N314" s="214"/>
      <c r="O314" s="214"/>
      <c r="P314" s="214"/>
    </row>
    <row r="315" spans="1:16" outlineLevel="5">
      <c r="A315" s="220" t="s">
        <v>623</v>
      </c>
      <c r="B315" s="220" t="s">
        <v>234</v>
      </c>
      <c r="C315" s="220" t="s">
        <v>235</v>
      </c>
      <c r="D315" s="220" t="s">
        <v>1148</v>
      </c>
      <c r="E315" s="220" t="s">
        <v>314</v>
      </c>
      <c r="F315" s="222">
        <v>200</v>
      </c>
      <c r="G315" s="222">
        <v>200</v>
      </c>
      <c r="H315" s="222">
        <v>200</v>
      </c>
      <c r="I315" s="218"/>
      <c r="J315" s="214"/>
      <c r="K315" s="214"/>
      <c r="L315" s="214"/>
      <c r="M315" s="214"/>
      <c r="N315" s="214"/>
      <c r="O315" s="214"/>
      <c r="P315" s="214"/>
    </row>
    <row r="316" spans="1:16" ht="51">
      <c r="A316" s="220" t="s">
        <v>1149</v>
      </c>
      <c r="B316" s="221"/>
      <c r="C316" s="221"/>
      <c r="D316" s="220" t="s">
        <v>419</v>
      </c>
      <c r="E316" s="221"/>
      <c r="F316" s="222">
        <v>16486.455000000002</v>
      </c>
      <c r="G316" s="222">
        <v>15486.454</v>
      </c>
      <c r="H316" s="222">
        <v>15486.454</v>
      </c>
      <c r="I316" s="218"/>
      <c r="J316" s="214"/>
      <c r="K316" s="214"/>
      <c r="L316" s="214"/>
      <c r="M316" s="214"/>
      <c r="N316" s="214"/>
      <c r="O316" s="214"/>
      <c r="P316" s="214"/>
    </row>
    <row r="317" spans="1:16" ht="38.25" outlineLevel="1">
      <c r="A317" s="220" t="s">
        <v>699</v>
      </c>
      <c r="B317" s="221"/>
      <c r="C317" s="221"/>
      <c r="D317" s="220" t="s">
        <v>420</v>
      </c>
      <c r="E317" s="221"/>
      <c r="F317" s="222">
        <v>16161.7</v>
      </c>
      <c r="G317" s="222">
        <v>15136.454</v>
      </c>
      <c r="H317" s="222">
        <v>15136.454</v>
      </c>
      <c r="I317" s="218"/>
      <c r="J317" s="214"/>
      <c r="K317" s="214"/>
      <c r="L317" s="214"/>
      <c r="M317" s="214"/>
      <c r="N317" s="214"/>
      <c r="O317" s="214"/>
      <c r="P317" s="214"/>
    </row>
    <row r="318" spans="1:16" ht="140.25" outlineLevel="2">
      <c r="A318" s="220" t="s">
        <v>1150</v>
      </c>
      <c r="B318" s="221"/>
      <c r="C318" s="221"/>
      <c r="D318" s="220" t="s">
        <v>421</v>
      </c>
      <c r="E318" s="221"/>
      <c r="F318" s="222">
        <v>16161.7</v>
      </c>
      <c r="G318" s="222">
        <v>15136.454</v>
      </c>
      <c r="H318" s="222">
        <v>15136.454</v>
      </c>
      <c r="I318" s="218"/>
      <c r="J318" s="214"/>
      <c r="K318" s="214"/>
      <c r="L318" s="214"/>
      <c r="M318" s="214"/>
      <c r="N318" s="214"/>
      <c r="O318" s="214"/>
      <c r="P318" s="214"/>
    </row>
    <row r="319" spans="1:16" ht="38.25" outlineLevel="3">
      <c r="A319" s="220" t="s">
        <v>700</v>
      </c>
      <c r="B319" s="220" t="s">
        <v>241</v>
      </c>
      <c r="C319" s="220" t="s">
        <v>240</v>
      </c>
      <c r="D319" s="220" t="s">
        <v>421</v>
      </c>
      <c r="E319" s="221"/>
      <c r="F319" s="222">
        <v>16161.7</v>
      </c>
      <c r="G319" s="222">
        <v>15136.454</v>
      </c>
      <c r="H319" s="222">
        <v>15136.454</v>
      </c>
      <c r="I319" s="218"/>
      <c r="J319" s="214"/>
      <c r="K319" s="214"/>
      <c r="L319" s="214"/>
      <c r="M319" s="214"/>
      <c r="N319" s="214"/>
      <c r="O319" s="214"/>
      <c r="P319" s="214"/>
    </row>
    <row r="320" spans="1:16" ht="102" outlineLevel="4">
      <c r="A320" s="220" t="s">
        <v>1151</v>
      </c>
      <c r="B320" s="220" t="s">
        <v>241</v>
      </c>
      <c r="C320" s="220" t="s">
        <v>240</v>
      </c>
      <c r="D320" s="220" t="s">
        <v>422</v>
      </c>
      <c r="E320" s="221"/>
      <c r="F320" s="222">
        <v>16102.84</v>
      </c>
      <c r="G320" s="222">
        <v>15077.593999999999</v>
      </c>
      <c r="H320" s="222">
        <v>15077.593999999999</v>
      </c>
      <c r="I320" s="218"/>
      <c r="J320" s="214"/>
      <c r="K320" s="214"/>
      <c r="L320" s="214"/>
      <c r="M320" s="214"/>
      <c r="N320" s="214"/>
      <c r="O320" s="214"/>
      <c r="P320" s="214"/>
    </row>
    <row r="321" spans="1:16" ht="76.5" outlineLevel="5">
      <c r="A321" s="220" t="s">
        <v>621</v>
      </c>
      <c r="B321" s="220" t="s">
        <v>241</v>
      </c>
      <c r="C321" s="220" t="s">
        <v>240</v>
      </c>
      <c r="D321" s="220" t="s">
        <v>422</v>
      </c>
      <c r="E321" s="220" t="s">
        <v>312</v>
      </c>
      <c r="F321" s="222">
        <v>14761.424999999999</v>
      </c>
      <c r="G321" s="222">
        <v>13519.045</v>
      </c>
      <c r="H321" s="222">
        <v>13519.045</v>
      </c>
      <c r="I321" s="218"/>
      <c r="J321" s="214"/>
      <c r="K321" s="214"/>
      <c r="L321" s="214"/>
      <c r="M321" s="214"/>
      <c r="N321" s="214"/>
      <c r="O321" s="214"/>
      <c r="P321" s="214"/>
    </row>
    <row r="322" spans="1:16" ht="38.25" outlineLevel="5">
      <c r="A322" s="220" t="s">
        <v>616</v>
      </c>
      <c r="B322" s="220" t="s">
        <v>241</v>
      </c>
      <c r="C322" s="220" t="s">
        <v>240</v>
      </c>
      <c r="D322" s="220" t="s">
        <v>422</v>
      </c>
      <c r="E322" s="220" t="s">
        <v>313</v>
      </c>
      <c r="F322" s="222">
        <v>1261.5150000000001</v>
      </c>
      <c r="G322" s="222">
        <v>1478.6489999999999</v>
      </c>
      <c r="H322" s="222">
        <v>1478.6489999999999</v>
      </c>
      <c r="I322" s="218"/>
      <c r="J322" s="214"/>
      <c r="K322" s="214"/>
      <c r="L322" s="214"/>
      <c r="M322" s="214"/>
      <c r="N322" s="214"/>
      <c r="O322" s="214"/>
      <c r="P322" s="214"/>
    </row>
    <row r="323" spans="1:16" outlineLevel="5">
      <c r="A323" s="220" t="s">
        <v>623</v>
      </c>
      <c r="B323" s="220" t="s">
        <v>241</v>
      </c>
      <c r="C323" s="220" t="s">
        <v>240</v>
      </c>
      <c r="D323" s="220" t="s">
        <v>422</v>
      </c>
      <c r="E323" s="220" t="s">
        <v>314</v>
      </c>
      <c r="F323" s="222">
        <v>79.900000000000006</v>
      </c>
      <c r="G323" s="222">
        <v>79.900000000000006</v>
      </c>
      <c r="H323" s="222">
        <v>79.900000000000006</v>
      </c>
      <c r="I323" s="218"/>
      <c r="J323" s="214"/>
      <c r="K323" s="214"/>
      <c r="L323" s="214"/>
      <c r="M323" s="214"/>
      <c r="N323" s="214"/>
      <c r="O323" s="214"/>
      <c r="P323" s="214"/>
    </row>
    <row r="324" spans="1:16" ht="51" outlineLevel="4">
      <c r="A324" s="220" t="s">
        <v>1152</v>
      </c>
      <c r="B324" s="220" t="s">
        <v>241</v>
      </c>
      <c r="C324" s="220" t="s">
        <v>240</v>
      </c>
      <c r="D324" s="220" t="s">
        <v>1153</v>
      </c>
      <c r="E324" s="221"/>
      <c r="F324" s="222">
        <v>58.86</v>
      </c>
      <c r="G324" s="222">
        <v>58.86</v>
      </c>
      <c r="H324" s="222">
        <v>58.86</v>
      </c>
      <c r="I324" s="218"/>
      <c r="J324" s="214"/>
      <c r="K324" s="214"/>
      <c r="L324" s="214"/>
      <c r="M324" s="214"/>
      <c r="N324" s="214"/>
      <c r="O324" s="214"/>
      <c r="P324" s="214"/>
    </row>
    <row r="325" spans="1:16" ht="38.25" outlineLevel="5">
      <c r="A325" s="220" t="s">
        <v>616</v>
      </c>
      <c r="B325" s="220" t="s">
        <v>241</v>
      </c>
      <c r="C325" s="220" t="s">
        <v>240</v>
      </c>
      <c r="D325" s="220" t="s">
        <v>1153</v>
      </c>
      <c r="E325" s="220" t="s">
        <v>313</v>
      </c>
      <c r="F325" s="222">
        <v>58.86</v>
      </c>
      <c r="G325" s="222">
        <v>58.86</v>
      </c>
      <c r="H325" s="222">
        <v>58.86</v>
      </c>
      <c r="I325" s="218"/>
      <c r="J325" s="214"/>
      <c r="K325" s="214"/>
      <c r="L325" s="214"/>
      <c r="M325" s="214"/>
      <c r="N325" s="214"/>
      <c r="O325" s="214"/>
      <c r="P325" s="214"/>
    </row>
    <row r="326" spans="1:16" ht="51" outlineLevel="1">
      <c r="A326" s="220" t="s">
        <v>701</v>
      </c>
      <c r="B326" s="221"/>
      <c r="C326" s="221"/>
      <c r="D326" s="220" t="s">
        <v>423</v>
      </c>
      <c r="E326" s="221"/>
      <c r="F326" s="222">
        <v>324.755</v>
      </c>
      <c r="G326" s="222">
        <v>350</v>
      </c>
      <c r="H326" s="222">
        <v>350</v>
      </c>
      <c r="I326" s="218"/>
      <c r="J326" s="214"/>
      <c r="K326" s="214"/>
      <c r="L326" s="214"/>
      <c r="M326" s="214"/>
      <c r="N326" s="214"/>
      <c r="O326" s="214"/>
      <c r="P326" s="214"/>
    </row>
    <row r="327" spans="1:16" ht="76.5" outlineLevel="2">
      <c r="A327" s="220" t="s">
        <v>702</v>
      </c>
      <c r="B327" s="221"/>
      <c r="C327" s="221"/>
      <c r="D327" s="220" t="s">
        <v>424</v>
      </c>
      <c r="E327" s="221"/>
      <c r="F327" s="222">
        <v>324.755</v>
      </c>
      <c r="G327" s="222">
        <v>350</v>
      </c>
      <c r="H327" s="222">
        <v>350</v>
      </c>
      <c r="I327" s="218"/>
      <c r="J327" s="214"/>
      <c r="K327" s="214"/>
      <c r="L327" s="214"/>
      <c r="M327" s="214"/>
      <c r="N327" s="214"/>
      <c r="O327" s="214"/>
      <c r="P327" s="214"/>
    </row>
    <row r="328" spans="1:16" ht="38.25" outlineLevel="3">
      <c r="A328" s="220" t="s">
        <v>700</v>
      </c>
      <c r="B328" s="220" t="s">
        <v>241</v>
      </c>
      <c r="C328" s="220" t="s">
        <v>240</v>
      </c>
      <c r="D328" s="220" t="s">
        <v>424</v>
      </c>
      <c r="E328" s="221"/>
      <c r="F328" s="222">
        <v>324.755</v>
      </c>
      <c r="G328" s="222">
        <v>350</v>
      </c>
      <c r="H328" s="222">
        <v>350</v>
      </c>
      <c r="I328" s="218"/>
      <c r="J328" s="214"/>
      <c r="K328" s="214"/>
      <c r="L328" s="214"/>
      <c r="M328" s="214"/>
      <c r="N328" s="214"/>
      <c r="O328" s="214"/>
      <c r="P328" s="214"/>
    </row>
    <row r="329" spans="1:16" ht="51" outlineLevel="4">
      <c r="A329" s="220" t="s">
        <v>1154</v>
      </c>
      <c r="B329" s="220" t="s">
        <v>241</v>
      </c>
      <c r="C329" s="220" t="s">
        <v>240</v>
      </c>
      <c r="D329" s="220" t="s">
        <v>1155</v>
      </c>
      <c r="E329" s="221"/>
      <c r="F329" s="222">
        <v>324.755</v>
      </c>
      <c r="G329" s="222">
        <v>350</v>
      </c>
      <c r="H329" s="222">
        <v>350</v>
      </c>
      <c r="I329" s="218"/>
      <c r="J329" s="214"/>
      <c r="K329" s="214"/>
      <c r="L329" s="214"/>
      <c r="M329" s="214"/>
      <c r="N329" s="214"/>
      <c r="O329" s="214"/>
      <c r="P329" s="214"/>
    </row>
    <row r="330" spans="1:16" ht="38.25" outlineLevel="5">
      <c r="A330" s="220" t="s">
        <v>616</v>
      </c>
      <c r="B330" s="220" t="s">
        <v>241</v>
      </c>
      <c r="C330" s="220" t="s">
        <v>240</v>
      </c>
      <c r="D330" s="220" t="s">
        <v>1155</v>
      </c>
      <c r="E330" s="220" t="s">
        <v>313</v>
      </c>
      <c r="F330" s="222">
        <v>324.755</v>
      </c>
      <c r="G330" s="222">
        <v>350</v>
      </c>
      <c r="H330" s="222">
        <v>350</v>
      </c>
      <c r="I330" s="218"/>
      <c r="J330" s="214"/>
      <c r="K330" s="214"/>
      <c r="L330" s="214"/>
      <c r="M330" s="214"/>
      <c r="N330" s="214"/>
      <c r="O330" s="214"/>
      <c r="P330" s="214"/>
    </row>
    <row r="331" spans="1:16" ht="63.75">
      <c r="A331" s="220" t="s">
        <v>1156</v>
      </c>
      <c r="B331" s="221"/>
      <c r="C331" s="221"/>
      <c r="D331" s="220" t="s">
        <v>425</v>
      </c>
      <c r="E331" s="221"/>
      <c r="F331" s="222">
        <v>1550</v>
      </c>
      <c r="G331" s="222">
        <v>1550</v>
      </c>
      <c r="H331" s="222">
        <v>1550</v>
      </c>
      <c r="I331" s="218"/>
      <c r="J331" s="214"/>
      <c r="K331" s="214"/>
      <c r="L331" s="214"/>
      <c r="M331" s="214"/>
      <c r="N331" s="214"/>
      <c r="O331" s="214"/>
      <c r="P331" s="214"/>
    </row>
    <row r="332" spans="1:16" ht="38.25" outlineLevel="2">
      <c r="A332" s="220" t="s">
        <v>707</v>
      </c>
      <c r="B332" s="221"/>
      <c r="C332" s="221"/>
      <c r="D332" s="220" t="s">
        <v>1157</v>
      </c>
      <c r="E332" s="221"/>
      <c r="F332" s="222">
        <v>1550</v>
      </c>
      <c r="G332" s="222">
        <v>1550</v>
      </c>
      <c r="H332" s="222">
        <v>1550</v>
      </c>
      <c r="I332" s="218"/>
      <c r="J332" s="214"/>
      <c r="K332" s="214"/>
      <c r="L332" s="214"/>
      <c r="M332" s="214"/>
      <c r="N332" s="214"/>
      <c r="O332" s="214"/>
      <c r="P332" s="214"/>
    </row>
    <row r="333" spans="1:16" outlineLevel="3">
      <c r="A333" s="220" t="s">
        <v>642</v>
      </c>
      <c r="B333" s="220" t="s">
        <v>239</v>
      </c>
      <c r="C333" s="220" t="s">
        <v>6</v>
      </c>
      <c r="D333" s="220" t="s">
        <v>1157</v>
      </c>
      <c r="E333" s="221"/>
      <c r="F333" s="222">
        <v>1550</v>
      </c>
      <c r="G333" s="222">
        <v>1550</v>
      </c>
      <c r="H333" s="222">
        <v>1550</v>
      </c>
      <c r="I333" s="218"/>
      <c r="J333" s="214"/>
      <c r="K333" s="214"/>
      <c r="L333" s="214"/>
      <c r="M333" s="214"/>
      <c r="N333" s="214"/>
      <c r="O333" s="214"/>
      <c r="P333" s="214"/>
    </row>
    <row r="334" spans="1:16" ht="63.75" outlineLevel="4">
      <c r="A334" s="220" t="s">
        <v>1158</v>
      </c>
      <c r="B334" s="220" t="s">
        <v>239</v>
      </c>
      <c r="C334" s="220" t="s">
        <v>6</v>
      </c>
      <c r="D334" s="220" t="s">
        <v>1159</v>
      </c>
      <c r="E334" s="221"/>
      <c r="F334" s="222">
        <v>1550</v>
      </c>
      <c r="G334" s="222">
        <v>1550</v>
      </c>
      <c r="H334" s="222">
        <v>1550</v>
      </c>
      <c r="I334" s="218"/>
      <c r="J334" s="214"/>
      <c r="K334" s="214"/>
      <c r="L334" s="214"/>
      <c r="M334" s="214"/>
      <c r="N334" s="214"/>
      <c r="O334" s="214"/>
      <c r="P334" s="214"/>
    </row>
    <row r="335" spans="1:16" ht="38.25" outlineLevel="5">
      <c r="A335" s="220" t="s">
        <v>616</v>
      </c>
      <c r="B335" s="220" t="s">
        <v>239</v>
      </c>
      <c r="C335" s="220" t="s">
        <v>6</v>
      </c>
      <c r="D335" s="220" t="s">
        <v>1159</v>
      </c>
      <c r="E335" s="220" t="s">
        <v>313</v>
      </c>
      <c r="F335" s="222">
        <v>1550</v>
      </c>
      <c r="G335" s="222">
        <v>1550</v>
      </c>
      <c r="H335" s="222">
        <v>1550</v>
      </c>
      <c r="I335" s="218"/>
      <c r="J335" s="214"/>
      <c r="K335" s="214"/>
      <c r="L335" s="214"/>
      <c r="M335" s="214"/>
      <c r="N335" s="214"/>
      <c r="O335" s="214"/>
      <c r="P335" s="214"/>
    </row>
    <row r="336" spans="1:16" ht="38.25">
      <c r="A336" s="220" t="s">
        <v>530</v>
      </c>
      <c r="B336" s="221"/>
      <c r="C336" s="221"/>
      <c r="D336" s="220" t="s">
        <v>426</v>
      </c>
      <c r="E336" s="221"/>
      <c r="F336" s="222">
        <v>9493.5009100000007</v>
      </c>
      <c r="G336" s="222">
        <v>9425.1820000000007</v>
      </c>
      <c r="H336" s="222">
        <v>9425.1820000000007</v>
      </c>
      <c r="I336" s="218"/>
      <c r="J336" s="214"/>
      <c r="K336" s="214"/>
      <c r="L336" s="214"/>
      <c r="M336" s="214"/>
      <c r="N336" s="214"/>
      <c r="O336" s="214"/>
      <c r="P336" s="214"/>
    </row>
    <row r="337" spans="1:16" ht="51" outlineLevel="1">
      <c r="A337" s="220" t="s">
        <v>704</v>
      </c>
      <c r="B337" s="221"/>
      <c r="C337" s="221"/>
      <c r="D337" s="220" t="s">
        <v>427</v>
      </c>
      <c r="E337" s="221"/>
      <c r="F337" s="222">
        <v>5279.0050000000001</v>
      </c>
      <c r="G337" s="222">
        <v>5279.0050000000001</v>
      </c>
      <c r="H337" s="222">
        <v>5279.0050000000001</v>
      </c>
      <c r="I337" s="218"/>
      <c r="J337" s="214"/>
      <c r="K337" s="214"/>
      <c r="L337" s="214"/>
      <c r="M337" s="214"/>
      <c r="N337" s="214"/>
      <c r="O337" s="214"/>
      <c r="P337" s="214"/>
    </row>
    <row r="338" spans="1:16" ht="51" outlineLevel="2">
      <c r="A338" s="220" t="s">
        <v>705</v>
      </c>
      <c r="B338" s="221"/>
      <c r="C338" s="221"/>
      <c r="D338" s="220" t="s">
        <v>428</v>
      </c>
      <c r="E338" s="221"/>
      <c r="F338" s="222">
        <v>5279.0050000000001</v>
      </c>
      <c r="G338" s="222">
        <v>5279.0050000000001</v>
      </c>
      <c r="H338" s="222">
        <v>5279.0050000000001</v>
      </c>
      <c r="I338" s="218"/>
      <c r="J338" s="214"/>
      <c r="K338" s="214"/>
      <c r="L338" s="214"/>
      <c r="M338" s="214"/>
      <c r="N338" s="214"/>
      <c r="O338" s="214"/>
      <c r="P338" s="214"/>
    </row>
    <row r="339" spans="1:16" outlineLevel="3">
      <c r="A339" s="220" t="s">
        <v>642</v>
      </c>
      <c r="B339" s="220" t="s">
        <v>239</v>
      </c>
      <c r="C339" s="220" t="s">
        <v>6</v>
      </c>
      <c r="D339" s="220" t="s">
        <v>428</v>
      </c>
      <c r="E339" s="221"/>
      <c r="F339" s="222">
        <v>5279.0050000000001</v>
      </c>
      <c r="G339" s="222">
        <v>5279.0050000000001</v>
      </c>
      <c r="H339" s="222">
        <v>5279.0050000000001</v>
      </c>
      <c r="I339" s="218"/>
      <c r="J339" s="214"/>
      <c r="K339" s="214"/>
      <c r="L339" s="214"/>
      <c r="M339" s="214"/>
      <c r="N339" s="214"/>
      <c r="O339" s="214"/>
      <c r="P339" s="214"/>
    </row>
    <row r="340" spans="1:16" ht="38.25" outlineLevel="4">
      <c r="A340" s="220" t="s">
        <v>1081</v>
      </c>
      <c r="B340" s="220" t="s">
        <v>239</v>
      </c>
      <c r="C340" s="220" t="s">
        <v>6</v>
      </c>
      <c r="D340" s="220" t="s">
        <v>1160</v>
      </c>
      <c r="E340" s="221"/>
      <c r="F340" s="222">
        <v>5227.4049999999997</v>
      </c>
      <c r="G340" s="222">
        <v>5227.4049999999997</v>
      </c>
      <c r="H340" s="222">
        <v>5227.4049999999997</v>
      </c>
      <c r="I340" s="218"/>
      <c r="J340" s="214"/>
      <c r="K340" s="214"/>
      <c r="L340" s="214"/>
      <c r="M340" s="214"/>
      <c r="N340" s="214"/>
      <c r="O340" s="214"/>
      <c r="P340" s="214"/>
    </row>
    <row r="341" spans="1:16" ht="76.5" outlineLevel="5">
      <c r="A341" s="220" t="s">
        <v>621</v>
      </c>
      <c r="B341" s="220" t="s">
        <v>239</v>
      </c>
      <c r="C341" s="220" t="s">
        <v>6</v>
      </c>
      <c r="D341" s="220" t="s">
        <v>1160</v>
      </c>
      <c r="E341" s="220" t="s">
        <v>312</v>
      </c>
      <c r="F341" s="222">
        <v>4800.1270000000004</v>
      </c>
      <c r="G341" s="222">
        <v>4800.1270000000004</v>
      </c>
      <c r="H341" s="222">
        <v>4800.1270000000004</v>
      </c>
      <c r="I341" s="218"/>
      <c r="J341" s="214"/>
      <c r="K341" s="214"/>
      <c r="L341" s="214"/>
      <c r="M341" s="214"/>
      <c r="N341" s="214"/>
      <c r="O341" s="214"/>
      <c r="P341" s="214"/>
    </row>
    <row r="342" spans="1:16" ht="38.25" outlineLevel="5">
      <c r="A342" s="220" t="s">
        <v>616</v>
      </c>
      <c r="B342" s="220" t="s">
        <v>239</v>
      </c>
      <c r="C342" s="220" t="s">
        <v>6</v>
      </c>
      <c r="D342" s="220" t="s">
        <v>1160</v>
      </c>
      <c r="E342" s="220" t="s">
        <v>313</v>
      </c>
      <c r="F342" s="222">
        <v>422.27800000000002</v>
      </c>
      <c r="G342" s="222">
        <v>422.27800000000002</v>
      </c>
      <c r="H342" s="222">
        <v>422.27800000000002</v>
      </c>
      <c r="I342" s="218"/>
      <c r="J342" s="214"/>
      <c r="K342" s="214"/>
      <c r="L342" s="214"/>
      <c r="M342" s="214"/>
      <c r="N342" s="214"/>
      <c r="O342" s="214"/>
      <c r="P342" s="214"/>
    </row>
    <row r="343" spans="1:16" outlineLevel="5">
      <c r="A343" s="220" t="s">
        <v>623</v>
      </c>
      <c r="B343" s="220" t="s">
        <v>239</v>
      </c>
      <c r="C343" s="220" t="s">
        <v>6</v>
      </c>
      <c r="D343" s="220" t="s">
        <v>1160</v>
      </c>
      <c r="E343" s="220" t="s">
        <v>314</v>
      </c>
      <c r="F343" s="222">
        <v>5</v>
      </c>
      <c r="G343" s="222">
        <v>5</v>
      </c>
      <c r="H343" s="222">
        <v>5</v>
      </c>
      <c r="I343" s="218"/>
      <c r="J343" s="214"/>
      <c r="K343" s="214"/>
      <c r="L343" s="214"/>
      <c r="M343" s="214"/>
      <c r="N343" s="214"/>
      <c r="O343" s="214"/>
      <c r="P343" s="214"/>
    </row>
    <row r="344" spans="1:16" ht="63.75" outlineLevel="4">
      <c r="A344" s="220" t="s">
        <v>1083</v>
      </c>
      <c r="B344" s="220" t="s">
        <v>239</v>
      </c>
      <c r="C344" s="220" t="s">
        <v>6</v>
      </c>
      <c r="D344" s="220" t="s">
        <v>1161</v>
      </c>
      <c r="E344" s="221"/>
      <c r="F344" s="222">
        <v>51.6</v>
      </c>
      <c r="G344" s="222">
        <v>51.6</v>
      </c>
      <c r="H344" s="222">
        <v>51.6</v>
      </c>
      <c r="I344" s="218"/>
      <c r="J344" s="214"/>
      <c r="K344" s="214"/>
      <c r="L344" s="214"/>
      <c r="M344" s="214"/>
      <c r="N344" s="214"/>
      <c r="O344" s="214"/>
      <c r="P344" s="214"/>
    </row>
    <row r="345" spans="1:16" ht="38.25" outlineLevel="5">
      <c r="A345" s="220" t="s">
        <v>616</v>
      </c>
      <c r="B345" s="220" t="s">
        <v>239</v>
      </c>
      <c r="C345" s="220" t="s">
        <v>6</v>
      </c>
      <c r="D345" s="220" t="s">
        <v>1161</v>
      </c>
      <c r="E345" s="220" t="s">
        <v>313</v>
      </c>
      <c r="F345" s="222">
        <v>51.6</v>
      </c>
      <c r="G345" s="222">
        <v>51.6</v>
      </c>
      <c r="H345" s="222">
        <v>51.6</v>
      </c>
      <c r="I345" s="218"/>
      <c r="J345" s="214"/>
      <c r="K345" s="214"/>
      <c r="L345" s="214"/>
      <c r="M345" s="214"/>
      <c r="N345" s="214"/>
      <c r="O345" s="214"/>
      <c r="P345" s="214"/>
    </row>
    <row r="346" spans="1:16" ht="25.5" outlineLevel="1">
      <c r="A346" s="220" t="s">
        <v>706</v>
      </c>
      <c r="B346" s="221"/>
      <c r="C346" s="221"/>
      <c r="D346" s="220" t="s">
        <v>429</v>
      </c>
      <c r="E346" s="221"/>
      <c r="F346" s="222">
        <v>4214.4959099999996</v>
      </c>
      <c r="G346" s="222">
        <v>4146.1769999999997</v>
      </c>
      <c r="H346" s="222">
        <v>4146.1769999999997</v>
      </c>
      <c r="I346" s="218"/>
      <c r="J346" s="214"/>
      <c r="K346" s="214"/>
      <c r="L346" s="214"/>
      <c r="M346" s="214"/>
      <c r="N346" s="214"/>
      <c r="O346" s="214"/>
      <c r="P346" s="214"/>
    </row>
    <row r="347" spans="1:16" ht="38.25" outlineLevel="2">
      <c r="A347" s="220" t="s">
        <v>707</v>
      </c>
      <c r="B347" s="221"/>
      <c r="C347" s="221"/>
      <c r="D347" s="220" t="s">
        <v>430</v>
      </c>
      <c r="E347" s="221"/>
      <c r="F347" s="222">
        <v>4214.4959099999996</v>
      </c>
      <c r="G347" s="222">
        <v>4146.1769999999997</v>
      </c>
      <c r="H347" s="222">
        <v>4146.1769999999997</v>
      </c>
      <c r="I347" s="218"/>
      <c r="J347" s="214"/>
      <c r="K347" s="214"/>
      <c r="L347" s="214"/>
      <c r="M347" s="214"/>
      <c r="N347" s="214"/>
      <c r="O347" s="214"/>
      <c r="P347" s="214"/>
    </row>
    <row r="348" spans="1:16" outlineLevel="3">
      <c r="A348" s="220" t="s">
        <v>642</v>
      </c>
      <c r="B348" s="220" t="s">
        <v>239</v>
      </c>
      <c r="C348" s="220" t="s">
        <v>6</v>
      </c>
      <c r="D348" s="220" t="s">
        <v>430</v>
      </c>
      <c r="E348" s="221"/>
      <c r="F348" s="222">
        <v>4214.4959099999996</v>
      </c>
      <c r="G348" s="222">
        <v>4146.1769999999997</v>
      </c>
      <c r="H348" s="222">
        <v>4146.1769999999997</v>
      </c>
      <c r="I348" s="218"/>
      <c r="J348" s="214"/>
      <c r="K348" s="214"/>
      <c r="L348" s="214"/>
      <c r="M348" s="214"/>
      <c r="N348" s="214"/>
      <c r="O348" s="214"/>
      <c r="P348" s="214"/>
    </row>
    <row r="349" spans="1:16" ht="38.25" outlineLevel="4">
      <c r="A349" s="220" t="s">
        <v>708</v>
      </c>
      <c r="B349" s="220" t="s">
        <v>239</v>
      </c>
      <c r="C349" s="220" t="s">
        <v>6</v>
      </c>
      <c r="D349" s="220" t="s">
        <v>431</v>
      </c>
      <c r="E349" s="221"/>
      <c r="F349" s="222">
        <v>262.95999999999998</v>
      </c>
      <c r="G349" s="222">
        <v>262.95999999999998</v>
      </c>
      <c r="H349" s="222">
        <v>262.95999999999998</v>
      </c>
      <c r="I349" s="218"/>
      <c r="J349" s="214"/>
      <c r="K349" s="214"/>
      <c r="L349" s="214"/>
      <c r="M349" s="214"/>
      <c r="N349" s="214"/>
      <c r="O349" s="214"/>
      <c r="P349" s="214"/>
    </row>
    <row r="350" spans="1:16" ht="38.25" outlineLevel="5">
      <c r="A350" s="220" t="s">
        <v>616</v>
      </c>
      <c r="B350" s="220" t="s">
        <v>239</v>
      </c>
      <c r="C350" s="220" t="s">
        <v>6</v>
      </c>
      <c r="D350" s="220" t="s">
        <v>431</v>
      </c>
      <c r="E350" s="220" t="s">
        <v>313</v>
      </c>
      <c r="F350" s="222">
        <v>262.95999999999998</v>
      </c>
      <c r="G350" s="222">
        <v>262.95999999999998</v>
      </c>
      <c r="H350" s="222">
        <v>262.95999999999998</v>
      </c>
      <c r="I350" s="218"/>
      <c r="J350" s="214"/>
      <c r="K350" s="214"/>
      <c r="L350" s="214"/>
      <c r="M350" s="214"/>
      <c r="N350" s="214"/>
      <c r="O350" s="214"/>
      <c r="P350" s="214"/>
    </row>
    <row r="351" spans="1:16" ht="38.25" outlineLevel="4">
      <c r="A351" s="220" t="s">
        <v>709</v>
      </c>
      <c r="B351" s="220" t="s">
        <v>239</v>
      </c>
      <c r="C351" s="220" t="s">
        <v>6</v>
      </c>
      <c r="D351" s="220" t="s">
        <v>432</v>
      </c>
      <c r="E351" s="221"/>
      <c r="F351" s="222">
        <v>3713.31891</v>
      </c>
      <c r="G351" s="222">
        <v>3645</v>
      </c>
      <c r="H351" s="222">
        <v>3645</v>
      </c>
      <c r="I351" s="218"/>
      <c r="J351" s="214"/>
      <c r="K351" s="214"/>
      <c r="L351" s="214"/>
      <c r="M351" s="214"/>
      <c r="N351" s="214"/>
      <c r="O351" s="214"/>
      <c r="P351" s="214"/>
    </row>
    <row r="352" spans="1:16" ht="38.25" outlineLevel="5">
      <c r="A352" s="220" t="s">
        <v>616</v>
      </c>
      <c r="B352" s="220" t="s">
        <v>239</v>
      </c>
      <c r="C352" s="220" t="s">
        <v>6</v>
      </c>
      <c r="D352" s="220" t="s">
        <v>432</v>
      </c>
      <c r="E352" s="220" t="s">
        <v>313</v>
      </c>
      <c r="F352" s="222">
        <v>3713.31891</v>
      </c>
      <c r="G352" s="222">
        <v>3645</v>
      </c>
      <c r="H352" s="222">
        <v>3645</v>
      </c>
      <c r="I352" s="218"/>
      <c r="J352" s="214"/>
      <c r="K352" s="214"/>
      <c r="L352" s="214"/>
      <c r="M352" s="214"/>
      <c r="N352" s="214"/>
      <c r="O352" s="214"/>
      <c r="P352" s="214"/>
    </row>
    <row r="353" spans="1:16" ht="38.25" outlineLevel="4">
      <c r="A353" s="220" t="s">
        <v>1028</v>
      </c>
      <c r="B353" s="220" t="s">
        <v>239</v>
      </c>
      <c r="C353" s="220" t="s">
        <v>6</v>
      </c>
      <c r="D353" s="220" t="s">
        <v>433</v>
      </c>
      <c r="E353" s="221"/>
      <c r="F353" s="222">
        <v>238.21700000000001</v>
      </c>
      <c r="G353" s="222">
        <v>238.21700000000001</v>
      </c>
      <c r="H353" s="222">
        <v>238.21700000000001</v>
      </c>
      <c r="I353" s="218"/>
      <c r="J353" s="214"/>
      <c r="K353" s="214"/>
      <c r="L353" s="214"/>
      <c r="M353" s="214"/>
      <c r="N353" s="214"/>
      <c r="O353" s="214"/>
      <c r="P353" s="214"/>
    </row>
    <row r="354" spans="1:16" ht="38.25" outlineLevel="5">
      <c r="A354" s="220" t="s">
        <v>616</v>
      </c>
      <c r="B354" s="220" t="s">
        <v>239</v>
      </c>
      <c r="C354" s="220" t="s">
        <v>6</v>
      </c>
      <c r="D354" s="220" t="s">
        <v>433</v>
      </c>
      <c r="E354" s="220" t="s">
        <v>313</v>
      </c>
      <c r="F354" s="222">
        <v>238.21700000000001</v>
      </c>
      <c r="G354" s="222">
        <v>238.21700000000001</v>
      </c>
      <c r="H354" s="222">
        <v>238.21700000000001</v>
      </c>
      <c r="I354" s="218"/>
      <c r="J354" s="214"/>
      <c r="K354" s="214"/>
      <c r="L354" s="214"/>
      <c r="M354" s="214"/>
      <c r="N354" s="214"/>
      <c r="O354" s="214"/>
      <c r="P354" s="214"/>
    </row>
    <row r="355" spans="1:16" ht="38.25">
      <c r="A355" s="220" t="s">
        <v>495</v>
      </c>
      <c r="B355" s="221"/>
      <c r="C355" s="221"/>
      <c r="D355" s="220" t="s">
        <v>434</v>
      </c>
      <c r="E355" s="221"/>
      <c r="F355" s="222">
        <v>37858.398699999998</v>
      </c>
      <c r="G355" s="222">
        <v>27303.244589999998</v>
      </c>
      <c r="H355" s="222">
        <v>27616.39459</v>
      </c>
      <c r="I355" s="218"/>
      <c r="J355" s="214"/>
      <c r="K355" s="214"/>
      <c r="L355" s="214"/>
      <c r="M355" s="214"/>
      <c r="N355" s="214"/>
      <c r="O355" s="214"/>
      <c r="P355" s="214"/>
    </row>
    <row r="356" spans="1:16" ht="25.5" outlineLevel="1">
      <c r="A356" s="220" t="s">
        <v>713</v>
      </c>
      <c r="B356" s="221"/>
      <c r="C356" s="221"/>
      <c r="D356" s="220" t="s">
        <v>435</v>
      </c>
      <c r="E356" s="221"/>
      <c r="F356" s="222">
        <v>28924.288700000001</v>
      </c>
      <c r="G356" s="222">
        <v>18381.110939999999</v>
      </c>
      <c r="H356" s="222">
        <v>18381.110939999999</v>
      </c>
      <c r="I356" s="218"/>
      <c r="J356" s="214"/>
      <c r="K356" s="214"/>
      <c r="L356" s="214"/>
      <c r="M356" s="214"/>
      <c r="N356" s="214"/>
      <c r="O356" s="214"/>
      <c r="P356" s="214"/>
    </row>
    <row r="357" spans="1:16" ht="25.5" outlineLevel="2">
      <c r="A357" s="220" t="s">
        <v>714</v>
      </c>
      <c r="B357" s="221"/>
      <c r="C357" s="221"/>
      <c r="D357" s="220" t="s">
        <v>436</v>
      </c>
      <c r="E357" s="221"/>
      <c r="F357" s="222">
        <v>16293.3987</v>
      </c>
      <c r="G357" s="222">
        <v>10041.16287</v>
      </c>
      <c r="H357" s="222">
        <v>10041.16287</v>
      </c>
      <c r="I357" s="218"/>
      <c r="J357" s="214"/>
      <c r="K357" s="214"/>
      <c r="L357" s="214"/>
      <c r="M357" s="214"/>
      <c r="N357" s="214"/>
      <c r="O357" s="214"/>
      <c r="P357" s="214"/>
    </row>
    <row r="358" spans="1:16" outlineLevel="3">
      <c r="A358" s="220" t="s">
        <v>710</v>
      </c>
      <c r="B358" s="220" t="s">
        <v>4</v>
      </c>
      <c r="C358" s="220" t="s">
        <v>241</v>
      </c>
      <c r="D358" s="220" t="s">
        <v>436</v>
      </c>
      <c r="E358" s="221"/>
      <c r="F358" s="222">
        <v>16293.3987</v>
      </c>
      <c r="G358" s="222">
        <v>10041.16287</v>
      </c>
      <c r="H358" s="222">
        <v>10041.16287</v>
      </c>
      <c r="I358" s="218"/>
      <c r="J358" s="214"/>
      <c r="K358" s="214"/>
      <c r="L358" s="214"/>
      <c r="M358" s="214"/>
      <c r="N358" s="214"/>
      <c r="O358" s="214"/>
      <c r="P358" s="214"/>
    </row>
    <row r="359" spans="1:16" ht="25.5" outlineLevel="4">
      <c r="A359" s="220" t="s">
        <v>957</v>
      </c>
      <c r="B359" s="220" t="s">
        <v>4</v>
      </c>
      <c r="C359" s="220" t="s">
        <v>241</v>
      </c>
      <c r="D359" s="220" t="s">
        <v>969</v>
      </c>
      <c r="E359" s="221"/>
      <c r="F359" s="222">
        <v>532.96</v>
      </c>
      <c r="G359" s="222">
        <v>463.87979999999999</v>
      </c>
      <c r="H359" s="222">
        <v>463.87979999999999</v>
      </c>
      <c r="I359" s="218"/>
      <c r="J359" s="214"/>
      <c r="K359" s="214"/>
      <c r="L359" s="214"/>
      <c r="M359" s="214"/>
      <c r="N359" s="214"/>
      <c r="O359" s="214"/>
      <c r="P359" s="214"/>
    </row>
    <row r="360" spans="1:16" ht="38.25" outlineLevel="5">
      <c r="A360" s="220" t="s">
        <v>612</v>
      </c>
      <c r="B360" s="220" t="s">
        <v>4</v>
      </c>
      <c r="C360" s="220" t="s">
        <v>241</v>
      </c>
      <c r="D360" s="220" t="s">
        <v>969</v>
      </c>
      <c r="E360" s="220" t="s">
        <v>315</v>
      </c>
      <c r="F360" s="222">
        <v>532.96</v>
      </c>
      <c r="G360" s="222">
        <v>463.87979999999999</v>
      </c>
      <c r="H360" s="222">
        <v>463.87979999999999</v>
      </c>
      <c r="I360" s="218"/>
      <c r="J360" s="214"/>
      <c r="K360" s="214"/>
      <c r="L360" s="214"/>
      <c r="M360" s="214"/>
      <c r="N360" s="214"/>
      <c r="O360" s="214"/>
      <c r="P360" s="214"/>
    </row>
    <row r="361" spans="1:16" ht="25.5" outlineLevel="4">
      <c r="A361" s="220" t="s">
        <v>943</v>
      </c>
      <c r="B361" s="220" t="s">
        <v>4</v>
      </c>
      <c r="C361" s="220" t="s">
        <v>241</v>
      </c>
      <c r="D361" s="220" t="s">
        <v>1162</v>
      </c>
      <c r="E361" s="221"/>
      <c r="F361" s="222">
        <v>128.87</v>
      </c>
      <c r="G361" s="222">
        <v>128.87</v>
      </c>
      <c r="H361" s="222">
        <v>128.87</v>
      </c>
      <c r="I361" s="218"/>
      <c r="J361" s="214"/>
      <c r="K361" s="214"/>
      <c r="L361" s="214"/>
      <c r="M361" s="214"/>
      <c r="N361" s="214"/>
      <c r="O361" s="214"/>
      <c r="P361" s="214"/>
    </row>
    <row r="362" spans="1:16" ht="38.25" outlineLevel="5">
      <c r="A362" s="220" t="s">
        <v>612</v>
      </c>
      <c r="B362" s="220" t="s">
        <v>4</v>
      </c>
      <c r="C362" s="220" t="s">
        <v>241</v>
      </c>
      <c r="D362" s="220" t="s">
        <v>1162</v>
      </c>
      <c r="E362" s="220" t="s">
        <v>315</v>
      </c>
      <c r="F362" s="222">
        <v>128.87</v>
      </c>
      <c r="G362" s="222">
        <v>128.87</v>
      </c>
      <c r="H362" s="222">
        <v>128.87</v>
      </c>
      <c r="I362" s="218"/>
      <c r="J362" s="214"/>
      <c r="K362" s="214"/>
      <c r="L362" s="214"/>
      <c r="M362" s="214"/>
      <c r="N362" s="214"/>
      <c r="O362" s="214"/>
      <c r="P362" s="214"/>
    </row>
    <row r="363" spans="1:16" ht="51" outlineLevel="4">
      <c r="A363" s="220" t="s">
        <v>715</v>
      </c>
      <c r="B363" s="220" t="s">
        <v>4</v>
      </c>
      <c r="C363" s="220" t="s">
        <v>241</v>
      </c>
      <c r="D363" s="220" t="s">
        <v>1163</v>
      </c>
      <c r="E363" s="221"/>
      <c r="F363" s="222">
        <v>12691.6587</v>
      </c>
      <c r="G363" s="222">
        <v>7548.4130699999996</v>
      </c>
      <c r="H363" s="222">
        <v>7548.4130699999996</v>
      </c>
      <c r="I363" s="218"/>
      <c r="J363" s="214"/>
      <c r="K363" s="214"/>
      <c r="L363" s="214"/>
      <c r="M363" s="214"/>
      <c r="N363" s="214"/>
      <c r="O363" s="214"/>
      <c r="P363" s="214"/>
    </row>
    <row r="364" spans="1:16" ht="38.25" outlineLevel="5">
      <c r="A364" s="220" t="s">
        <v>612</v>
      </c>
      <c r="B364" s="220" t="s">
        <v>4</v>
      </c>
      <c r="C364" s="220" t="s">
        <v>241</v>
      </c>
      <c r="D364" s="220" t="s">
        <v>1163</v>
      </c>
      <c r="E364" s="220" t="s">
        <v>315</v>
      </c>
      <c r="F364" s="222">
        <v>12691.6587</v>
      </c>
      <c r="G364" s="222">
        <v>7548.4130699999996</v>
      </c>
      <c r="H364" s="222">
        <v>7548.4130699999996</v>
      </c>
      <c r="I364" s="218"/>
      <c r="J364" s="214"/>
      <c r="K364" s="214"/>
      <c r="L364" s="214"/>
      <c r="M364" s="214"/>
      <c r="N364" s="214"/>
      <c r="O364" s="214"/>
      <c r="P364" s="214"/>
    </row>
    <row r="365" spans="1:16" ht="25.5" outlineLevel="4">
      <c r="A365" s="220" t="s">
        <v>716</v>
      </c>
      <c r="B365" s="220" t="s">
        <v>4</v>
      </c>
      <c r="C365" s="220" t="s">
        <v>241</v>
      </c>
      <c r="D365" s="220" t="s">
        <v>1164</v>
      </c>
      <c r="E365" s="221"/>
      <c r="F365" s="222">
        <v>150</v>
      </c>
      <c r="G365" s="222">
        <v>150</v>
      </c>
      <c r="H365" s="222">
        <v>150</v>
      </c>
      <c r="I365" s="218"/>
      <c r="J365" s="214"/>
      <c r="K365" s="214"/>
      <c r="L365" s="214"/>
      <c r="M365" s="214"/>
      <c r="N365" s="214"/>
      <c r="O365" s="214"/>
      <c r="P365" s="214"/>
    </row>
    <row r="366" spans="1:16" ht="38.25" outlineLevel="5">
      <c r="A366" s="220" t="s">
        <v>612</v>
      </c>
      <c r="B366" s="220" t="s">
        <v>4</v>
      </c>
      <c r="C366" s="220" t="s">
        <v>241</v>
      </c>
      <c r="D366" s="220" t="s">
        <v>1164</v>
      </c>
      <c r="E366" s="220" t="s">
        <v>315</v>
      </c>
      <c r="F366" s="222">
        <v>150</v>
      </c>
      <c r="G366" s="222">
        <v>150</v>
      </c>
      <c r="H366" s="222">
        <v>150</v>
      </c>
      <c r="I366" s="218"/>
      <c r="J366" s="214"/>
      <c r="K366" s="214"/>
      <c r="L366" s="214"/>
      <c r="M366" s="214"/>
      <c r="N366" s="214"/>
      <c r="O366" s="214"/>
      <c r="P366" s="214"/>
    </row>
    <row r="367" spans="1:16" ht="25.5" outlineLevel="4">
      <c r="A367" s="220" t="s">
        <v>1308</v>
      </c>
      <c r="B367" s="220" t="s">
        <v>4</v>
      </c>
      <c r="C367" s="220" t="s">
        <v>241</v>
      </c>
      <c r="D367" s="220" t="s">
        <v>1309</v>
      </c>
      <c r="E367" s="221"/>
      <c r="F367" s="222">
        <v>1000</v>
      </c>
      <c r="G367" s="222">
        <v>0</v>
      </c>
      <c r="H367" s="222">
        <v>0</v>
      </c>
      <c r="I367" s="218"/>
      <c r="J367" s="214"/>
      <c r="K367" s="214"/>
      <c r="L367" s="214"/>
      <c r="M367" s="214"/>
      <c r="N367" s="214"/>
      <c r="O367" s="214"/>
      <c r="P367" s="214"/>
    </row>
    <row r="368" spans="1:16" ht="38.25" outlineLevel="5">
      <c r="A368" s="220" t="s">
        <v>670</v>
      </c>
      <c r="B368" s="220" t="s">
        <v>4</v>
      </c>
      <c r="C368" s="220" t="s">
        <v>241</v>
      </c>
      <c r="D368" s="220" t="s">
        <v>1309</v>
      </c>
      <c r="E368" s="220" t="s">
        <v>317</v>
      </c>
      <c r="F368" s="222">
        <v>1000</v>
      </c>
      <c r="G368" s="222">
        <v>0</v>
      </c>
      <c r="H368" s="222">
        <v>0</v>
      </c>
      <c r="I368" s="218"/>
      <c r="J368" s="214"/>
      <c r="K368" s="214"/>
      <c r="L368" s="214"/>
      <c r="M368" s="214"/>
      <c r="N368" s="214"/>
      <c r="O368" s="214"/>
      <c r="P368" s="214"/>
    </row>
    <row r="369" spans="1:16" ht="51" outlineLevel="4">
      <c r="A369" s="220" t="s">
        <v>1165</v>
      </c>
      <c r="B369" s="220" t="s">
        <v>4</v>
      </c>
      <c r="C369" s="220" t="s">
        <v>241</v>
      </c>
      <c r="D369" s="220" t="s">
        <v>1166</v>
      </c>
      <c r="E369" s="221"/>
      <c r="F369" s="222">
        <v>500</v>
      </c>
      <c r="G369" s="222">
        <v>500</v>
      </c>
      <c r="H369" s="222">
        <v>500</v>
      </c>
      <c r="I369" s="218"/>
      <c r="J369" s="214"/>
      <c r="K369" s="214"/>
      <c r="L369" s="214"/>
      <c r="M369" s="214"/>
      <c r="N369" s="214"/>
      <c r="O369" s="214"/>
      <c r="P369" s="214"/>
    </row>
    <row r="370" spans="1:16" ht="38.25" outlineLevel="5">
      <c r="A370" s="220" t="s">
        <v>612</v>
      </c>
      <c r="B370" s="220" t="s">
        <v>4</v>
      </c>
      <c r="C370" s="220" t="s">
        <v>241</v>
      </c>
      <c r="D370" s="220" t="s">
        <v>1166</v>
      </c>
      <c r="E370" s="220" t="s">
        <v>315</v>
      </c>
      <c r="F370" s="222">
        <v>500</v>
      </c>
      <c r="G370" s="222">
        <v>500</v>
      </c>
      <c r="H370" s="222">
        <v>500</v>
      </c>
      <c r="I370" s="218"/>
      <c r="J370" s="214"/>
      <c r="K370" s="214"/>
      <c r="L370" s="214"/>
      <c r="M370" s="214"/>
      <c r="N370" s="214"/>
      <c r="O370" s="214"/>
      <c r="P370" s="214"/>
    </row>
    <row r="371" spans="1:16" outlineLevel="4">
      <c r="A371" s="220" t="s">
        <v>1167</v>
      </c>
      <c r="B371" s="220" t="s">
        <v>4</v>
      </c>
      <c r="C371" s="220" t="s">
        <v>241</v>
      </c>
      <c r="D371" s="220" t="s">
        <v>1168</v>
      </c>
      <c r="E371" s="221"/>
      <c r="F371" s="222">
        <v>1289.9100000000001</v>
      </c>
      <c r="G371" s="222">
        <v>1250</v>
      </c>
      <c r="H371" s="222">
        <v>1250</v>
      </c>
      <c r="I371" s="218"/>
      <c r="J371" s="214"/>
      <c r="K371" s="214"/>
      <c r="L371" s="214"/>
      <c r="M371" s="214"/>
      <c r="N371" s="214"/>
      <c r="O371" s="214"/>
      <c r="P371" s="214"/>
    </row>
    <row r="372" spans="1:16" ht="38.25" outlineLevel="5">
      <c r="A372" s="220" t="s">
        <v>616</v>
      </c>
      <c r="B372" s="220" t="s">
        <v>4</v>
      </c>
      <c r="C372" s="220" t="s">
        <v>241</v>
      </c>
      <c r="D372" s="220" t="s">
        <v>1168</v>
      </c>
      <c r="E372" s="220" t="s">
        <v>313</v>
      </c>
      <c r="F372" s="222">
        <v>39.909999999999997</v>
      </c>
      <c r="G372" s="222">
        <v>0</v>
      </c>
      <c r="H372" s="222">
        <v>0</v>
      </c>
      <c r="I372" s="218"/>
      <c r="J372" s="214"/>
      <c r="K372" s="214"/>
      <c r="L372" s="214"/>
      <c r="M372" s="214"/>
      <c r="N372" s="214"/>
      <c r="O372" s="214"/>
      <c r="P372" s="214"/>
    </row>
    <row r="373" spans="1:16" ht="38.25" outlineLevel="5">
      <c r="A373" s="220" t="s">
        <v>612</v>
      </c>
      <c r="B373" s="220" t="s">
        <v>4</v>
      </c>
      <c r="C373" s="220" t="s">
        <v>241</v>
      </c>
      <c r="D373" s="220" t="s">
        <v>1168</v>
      </c>
      <c r="E373" s="220" t="s">
        <v>315</v>
      </c>
      <c r="F373" s="222">
        <v>1250</v>
      </c>
      <c r="G373" s="222">
        <v>1250</v>
      </c>
      <c r="H373" s="222">
        <v>1250</v>
      </c>
      <c r="I373" s="218"/>
      <c r="J373" s="214"/>
      <c r="K373" s="214"/>
      <c r="L373" s="214"/>
      <c r="M373" s="214"/>
      <c r="N373" s="214"/>
      <c r="O373" s="214"/>
      <c r="P373" s="214"/>
    </row>
    <row r="374" spans="1:16" ht="63.75" outlineLevel="2">
      <c r="A374" s="220" t="s">
        <v>1169</v>
      </c>
      <c r="B374" s="221"/>
      <c r="C374" s="221"/>
      <c r="D374" s="220" t="s">
        <v>1170</v>
      </c>
      <c r="E374" s="221"/>
      <c r="F374" s="222">
        <v>7630.89</v>
      </c>
      <c r="G374" s="222">
        <v>8339.9480700000004</v>
      </c>
      <c r="H374" s="222">
        <v>8339.9480700000004</v>
      </c>
      <c r="I374" s="218"/>
      <c r="J374" s="214"/>
      <c r="K374" s="214"/>
      <c r="L374" s="214"/>
      <c r="M374" s="214"/>
      <c r="N374" s="214"/>
      <c r="O374" s="214"/>
      <c r="P374" s="214"/>
    </row>
    <row r="375" spans="1:16" outlineLevel="3">
      <c r="A375" s="220" t="s">
        <v>710</v>
      </c>
      <c r="B375" s="220" t="s">
        <v>4</v>
      </c>
      <c r="C375" s="220" t="s">
        <v>241</v>
      </c>
      <c r="D375" s="220" t="s">
        <v>1170</v>
      </c>
      <c r="E375" s="221"/>
      <c r="F375" s="222">
        <v>7610.49</v>
      </c>
      <c r="G375" s="222">
        <v>8319.5480700000007</v>
      </c>
      <c r="H375" s="222">
        <v>8319.5480700000007</v>
      </c>
      <c r="I375" s="218"/>
      <c r="J375" s="214"/>
      <c r="K375" s="214"/>
      <c r="L375" s="214"/>
      <c r="M375" s="214"/>
      <c r="N375" s="214"/>
      <c r="O375" s="214"/>
      <c r="P375" s="214"/>
    </row>
    <row r="376" spans="1:16" ht="25.5" outlineLevel="4">
      <c r="A376" s="220" t="s">
        <v>957</v>
      </c>
      <c r="B376" s="220" t="s">
        <v>4</v>
      </c>
      <c r="C376" s="220" t="s">
        <v>241</v>
      </c>
      <c r="D376" s="220" t="s">
        <v>1171</v>
      </c>
      <c r="E376" s="221"/>
      <c r="F376" s="222">
        <v>5329.87</v>
      </c>
      <c r="G376" s="222">
        <v>5842.3543200000004</v>
      </c>
      <c r="H376" s="222">
        <v>5842.3543200000004</v>
      </c>
      <c r="I376" s="218"/>
      <c r="J376" s="214"/>
      <c r="K376" s="214"/>
      <c r="L376" s="214"/>
      <c r="M376" s="214"/>
      <c r="N376" s="214"/>
      <c r="O376" s="214"/>
      <c r="P376" s="214"/>
    </row>
    <row r="377" spans="1:16" ht="38.25" outlineLevel="5">
      <c r="A377" s="220" t="s">
        <v>612</v>
      </c>
      <c r="B377" s="220" t="s">
        <v>4</v>
      </c>
      <c r="C377" s="220" t="s">
        <v>241</v>
      </c>
      <c r="D377" s="220" t="s">
        <v>1171</v>
      </c>
      <c r="E377" s="220" t="s">
        <v>315</v>
      </c>
      <c r="F377" s="222">
        <v>5329.87</v>
      </c>
      <c r="G377" s="222">
        <v>5842.3543200000004</v>
      </c>
      <c r="H377" s="222">
        <v>5842.3543200000004</v>
      </c>
      <c r="I377" s="218"/>
      <c r="J377" s="214"/>
      <c r="K377" s="214"/>
      <c r="L377" s="214"/>
      <c r="M377" s="214"/>
      <c r="N377" s="214"/>
      <c r="O377" s="214"/>
      <c r="P377" s="214"/>
    </row>
    <row r="378" spans="1:16" ht="25.5" outlineLevel="4">
      <c r="A378" s="220" t="s">
        <v>712</v>
      </c>
      <c r="B378" s="220" t="s">
        <v>4</v>
      </c>
      <c r="C378" s="220" t="s">
        <v>241</v>
      </c>
      <c r="D378" s="220" t="s">
        <v>1172</v>
      </c>
      <c r="E378" s="221"/>
      <c r="F378" s="222">
        <v>2280.62</v>
      </c>
      <c r="G378" s="222">
        <v>2477.1937499999999</v>
      </c>
      <c r="H378" s="222">
        <v>2477.1937499999999</v>
      </c>
      <c r="I378" s="218"/>
      <c r="J378" s="214"/>
      <c r="K378" s="214"/>
      <c r="L378" s="214"/>
      <c r="M378" s="214"/>
      <c r="N378" s="214"/>
      <c r="O378" s="214"/>
      <c r="P378" s="214"/>
    </row>
    <row r="379" spans="1:16" ht="38.25" outlineLevel="5">
      <c r="A379" s="220" t="s">
        <v>612</v>
      </c>
      <c r="B379" s="220" t="s">
        <v>4</v>
      </c>
      <c r="C379" s="220" t="s">
        <v>241</v>
      </c>
      <c r="D379" s="220" t="s">
        <v>1172</v>
      </c>
      <c r="E379" s="220" t="s">
        <v>315</v>
      </c>
      <c r="F379" s="222">
        <v>2280.62</v>
      </c>
      <c r="G379" s="222">
        <v>2477.1937499999999</v>
      </c>
      <c r="H379" s="222">
        <v>2477.1937499999999</v>
      </c>
      <c r="I379" s="218"/>
      <c r="J379" s="214"/>
      <c r="K379" s="214"/>
      <c r="L379" s="214"/>
      <c r="M379" s="214"/>
      <c r="N379" s="214"/>
      <c r="O379" s="214"/>
      <c r="P379" s="214"/>
    </row>
    <row r="380" spans="1:16" ht="25.5" outlineLevel="3">
      <c r="A380" s="220" t="s">
        <v>676</v>
      </c>
      <c r="B380" s="220" t="s">
        <v>4</v>
      </c>
      <c r="C380" s="220" t="s">
        <v>4</v>
      </c>
      <c r="D380" s="220" t="s">
        <v>1170</v>
      </c>
      <c r="E380" s="221"/>
      <c r="F380" s="222">
        <v>20.399999999999999</v>
      </c>
      <c r="G380" s="222">
        <v>20.399999999999999</v>
      </c>
      <c r="H380" s="222">
        <v>20.399999999999999</v>
      </c>
      <c r="I380" s="218"/>
      <c r="J380" s="214"/>
      <c r="K380" s="214"/>
      <c r="L380" s="214"/>
      <c r="M380" s="214"/>
      <c r="N380" s="214"/>
      <c r="O380" s="214"/>
      <c r="P380" s="214"/>
    </row>
    <row r="381" spans="1:16" ht="89.25" outlineLevel="4">
      <c r="A381" s="220" t="s">
        <v>677</v>
      </c>
      <c r="B381" s="220" t="s">
        <v>4</v>
      </c>
      <c r="C381" s="220" t="s">
        <v>4</v>
      </c>
      <c r="D381" s="220" t="s">
        <v>1173</v>
      </c>
      <c r="E381" s="221"/>
      <c r="F381" s="222">
        <v>20.399999999999999</v>
      </c>
      <c r="G381" s="222">
        <v>20.399999999999999</v>
      </c>
      <c r="H381" s="222">
        <v>20.399999999999999</v>
      </c>
      <c r="I381" s="218"/>
      <c r="J381" s="214"/>
      <c r="K381" s="214"/>
      <c r="L381" s="214"/>
      <c r="M381" s="214"/>
      <c r="N381" s="214"/>
      <c r="O381" s="214"/>
      <c r="P381" s="214"/>
    </row>
    <row r="382" spans="1:16" outlineLevel="5">
      <c r="A382" s="220" t="s">
        <v>623</v>
      </c>
      <c r="B382" s="220" t="s">
        <v>4</v>
      </c>
      <c r="C382" s="220" t="s">
        <v>4</v>
      </c>
      <c r="D382" s="220" t="s">
        <v>1173</v>
      </c>
      <c r="E382" s="220" t="s">
        <v>314</v>
      </c>
      <c r="F382" s="222">
        <v>20.399999999999999</v>
      </c>
      <c r="G382" s="222">
        <v>20.399999999999999</v>
      </c>
      <c r="H382" s="222">
        <v>20.399999999999999</v>
      </c>
      <c r="I382" s="218"/>
      <c r="J382" s="214"/>
      <c r="K382" s="214"/>
      <c r="L382" s="214"/>
      <c r="M382" s="214"/>
      <c r="N382" s="214"/>
      <c r="O382" s="214"/>
      <c r="P382" s="214"/>
    </row>
    <row r="383" spans="1:16" ht="63.75" outlineLevel="2">
      <c r="A383" s="220" t="s">
        <v>1174</v>
      </c>
      <c r="B383" s="221"/>
      <c r="C383" s="221"/>
      <c r="D383" s="220" t="s">
        <v>1175</v>
      </c>
      <c r="E383" s="221"/>
      <c r="F383" s="222">
        <v>5000</v>
      </c>
      <c r="G383" s="222">
        <v>0</v>
      </c>
      <c r="H383" s="222">
        <v>0</v>
      </c>
      <c r="I383" s="218"/>
      <c r="J383" s="214"/>
      <c r="K383" s="214"/>
      <c r="L383" s="214"/>
      <c r="M383" s="214"/>
      <c r="N383" s="214"/>
      <c r="O383" s="214"/>
      <c r="P383" s="214"/>
    </row>
    <row r="384" spans="1:16" ht="25.5" outlineLevel="3">
      <c r="A384" s="220" t="s">
        <v>676</v>
      </c>
      <c r="B384" s="220" t="s">
        <v>4</v>
      </c>
      <c r="C384" s="220" t="s">
        <v>4</v>
      </c>
      <c r="D384" s="220" t="s">
        <v>1175</v>
      </c>
      <c r="E384" s="221"/>
      <c r="F384" s="222">
        <v>5000</v>
      </c>
      <c r="G384" s="222">
        <v>0</v>
      </c>
      <c r="H384" s="222">
        <v>0</v>
      </c>
      <c r="I384" s="218"/>
      <c r="J384" s="214"/>
      <c r="K384" s="214"/>
      <c r="L384" s="214"/>
      <c r="M384" s="214"/>
      <c r="N384" s="214"/>
      <c r="O384" s="214"/>
      <c r="P384" s="214"/>
    </row>
    <row r="385" spans="1:16" ht="25.5" outlineLevel="4">
      <c r="A385" s="220" t="s">
        <v>722</v>
      </c>
      <c r="B385" s="220" t="s">
        <v>4</v>
      </c>
      <c r="C385" s="220" t="s">
        <v>4</v>
      </c>
      <c r="D385" s="220" t="s">
        <v>1176</v>
      </c>
      <c r="E385" s="221"/>
      <c r="F385" s="222">
        <v>5000</v>
      </c>
      <c r="G385" s="222">
        <v>0</v>
      </c>
      <c r="H385" s="222">
        <v>0</v>
      </c>
      <c r="I385" s="218"/>
      <c r="J385" s="214"/>
      <c r="K385" s="214"/>
      <c r="L385" s="214"/>
      <c r="M385" s="214"/>
      <c r="N385" s="214"/>
      <c r="O385" s="214"/>
      <c r="P385" s="214"/>
    </row>
    <row r="386" spans="1:16" ht="38.25" outlineLevel="5">
      <c r="A386" s="220" t="s">
        <v>612</v>
      </c>
      <c r="B386" s="220" t="s">
        <v>4</v>
      </c>
      <c r="C386" s="220" t="s">
        <v>4</v>
      </c>
      <c r="D386" s="220" t="s">
        <v>1176</v>
      </c>
      <c r="E386" s="220" t="s">
        <v>315</v>
      </c>
      <c r="F386" s="222">
        <v>5000</v>
      </c>
      <c r="G386" s="222">
        <v>0</v>
      </c>
      <c r="H386" s="222">
        <v>0</v>
      </c>
      <c r="I386" s="218"/>
      <c r="J386" s="214"/>
      <c r="K386" s="214"/>
      <c r="L386" s="214"/>
      <c r="M386" s="214"/>
      <c r="N386" s="214"/>
      <c r="O386" s="214"/>
      <c r="P386" s="214"/>
    </row>
    <row r="387" spans="1:16" ht="38.25" outlineLevel="1">
      <c r="A387" s="220" t="s">
        <v>1177</v>
      </c>
      <c r="B387" s="221"/>
      <c r="C387" s="221"/>
      <c r="D387" s="220" t="s">
        <v>1178</v>
      </c>
      <c r="E387" s="221"/>
      <c r="F387" s="222">
        <v>8934.11</v>
      </c>
      <c r="G387" s="222">
        <v>8922.1336499999998</v>
      </c>
      <c r="H387" s="222">
        <v>9235.2836499999994</v>
      </c>
      <c r="I387" s="218"/>
      <c r="J387" s="214"/>
      <c r="K387" s="214"/>
      <c r="L387" s="214"/>
      <c r="M387" s="214"/>
      <c r="N387" s="214"/>
      <c r="O387" s="214"/>
      <c r="P387" s="214"/>
    </row>
    <row r="388" spans="1:16" ht="25.5" outlineLevel="2">
      <c r="A388" s="220" t="s">
        <v>720</v>
      </c>
      <c r="B388" s="221"/>
      <c r="C388" s="221"/>
      <c r="D388" s="220" t="s">
        <v>1179</v>
      </c>
      <c r="E388" s="221"/>
      <c r="F388" s="222">
        <v>8934.11</v>
      </c>
      <c r="G388" s="222">
        <v>8922.1336499999998</v>
      </c>
      <c r="H388" s="222">
        <v>9235.2836499999994</v>
      </c>
      <c r="I388" s="218"/>
      <c r="J388" s="214"/>
      <c r="K388" s="214"/>
      <c r="L388" s="214"/>
      <c r="M388" s="214"/>
      <c r="N388" s="214"/>
      <c r="O388" s="214"/>
      <c r="P388" s="214"/>
    </row>
    <row r="389" spans="1:16" outlineLevel="3">
      <c r="A389" s="220" t="s">
        <v>1000</v>
      </c>
      <c r="B389" s="220" t="s">
        <v>234</v>
      </c>
      <c r="C389" s="220" t="s">
        <v>243</v>
      </c>
      <c r="D389" s="220" t="s">
        <v>1179</v>
      </c>
      <c r="E389" s="221"/>
      <c r="F389" s="222">
        <v>8934.11</v>
      </c>
      <c r="G389" s="222">
        <v>8922.1336499999998</v>
      </c>
      <c r="H389" s="222">
        <v>9235.2836499999994</v>
      </c>
      <c r="I389" s="218"/>
      <c r="J389" s="214"/>
      <c r="K389" s="214"/>
      <c r="L389" s="214"/>
      <c r="M389" s="214"/>
      <c r="N389" s="214"/>
      <c r="O389" s="214"/>
      <c r="P389" s="214"/>
    </row>
    <row r="390" spans="1:16" ht="38.25" outlineLevel="4">
      <c r="A390" s="220" t="s">
        <v>721</v>
      </c>
      <c r="B390" s="220" t="s">
        <v>234</v>
      </c>
      <c r="C390" s="220" t="s">
        <v>243</v>
      </c>
      <c r="D390" s="220" t="s">
        <v>1180</v>
      </c>
      <c r="E390" s="221"/>
      <c r="F390" s="222">
        <v>8934.11</v>
      </c>
      <c r="G390" s="222">
        <v>8922.1336499999998</v>
      </c>
      <c r="H390" s="222">
        <v>9235.2836499999994</v>
      </c>
      <c r="I390" s="218"/>
      <c r="J390" s="214"/>
      <c r="K390" s="214"/>
      <c r="L390" s="214"/>
      <c r="M390" s="214"/>
      <c r="N390" s="214"/>
      <c r="O390" s="214"/>
      <c r="P390" s="214"/>
    </row>
    <row r="391" spans="1:16" ht="38.25" outlineLevel="5">
      <c r="A391" s="220" t="s">
        <v>612</v>
      </c>
      <c r="B391" s="220" t="s">
        <v>234</v>
      </c>
      <c r="C391" s="220" t="s">
        <v>243</v>
      </c>
      <c r="D391" s="220" t="s">
        <v>1180</v>
      </c>
      <c r="E391" s="220" t="s">
        <v>315</v>
      </c>
      <c r="F391" s="222">
        <v>8934.11</v>
      </c>
      <c r="G391" s="222">
        <v>8922.1336499999998</v>
      </c>
      <c r="H391" s="222">
        <v>9235.2836499999994</v>
      </c>
      <c r="I391" s="218"/>
      <c r="J391" s="214"/>
      <c r="K391" s="214"/>
      <c r="L391" s="214"/>
      <c r="M391" s="214"/>
      <c r="N391" s="214"/>
      <c r="O391" s="214"/>
      <c r="P391" s="214"/>
    </row>
    <row r="392" spans="1:16" ht="38.25">
      <c r="A392" s="220" t="s">
        <v>1181</v>
      </c>
      <c r="B392" s="221"/>
      <c r="C392" s="221"/>
      <c r="D392" s="220" t="s">
        <v>437</v>
      </c>
      <c r="E392" s="221"/>
      <c r="F392" s="222">
        <v>1213.5340000000001</v>
      </c>
      <c r="G392" s="222">
        <v>1042.2380000000001</v>
      </c>
      <c r="H392" s="222">
        <v>1042.2380000000001</v>
      </c>
      <c r="I392" s="218"/>
      <c r="J392" s="214"/>
      <c r="K392" s="214"/>
      <c r="L392" s="214"/>
      <c r="M392" s="214"/>
      <c r="N392" s="214"/>
      <c r="O392" s="214"/>
      <c r="P392" s="214"/>
    </row>
    <row r="393" spans="1:16" ht="51" outlineLevel="2">
      <c r="A393" s="220" t="s">
        <v>1182</v>
      </c>
      <c r="B393" s="221"/>
      <c r="C393" s="221"/>
      <c r="D393" s="220" t="s">
        <v>1183</v>
      </c>
      <c r="E393" s="221"/>
      <c r="F393" s="222">
        <v>31.608000000000001</v>
      </c>
      <c r="G393" s="222">
        <v>31.608000000000001</v>
      </c>
      <c r="H393" s="222">
        <v>31.608000000000001</v>
      </c>
      <c r="I393" s="218"/>
      <c r="J393" s="214"/>
      <c r="K393" s="214"/>
      <c r="L393" s="214"/>
      <c r="M393" s="214"/>
      <c r="N393" s="214"/>
      <c r="O393" s="214"/>
      <c r="P393" s="214"/>
    </row>
    <row r="394" spans="1:16" outlineLevel="3">
      <c r="A394" s="220" t="s">
        <v>642</v>
      </c>
      <c r="B394" s="220" t="s">
        <v>239</v>
      </c>
      <c r="C394" s="220" t="s">
        <v>6</v>
      </c>
      <c r="D394" s="220" t="s">
        <v>1183</v>
      </c>
      <c r="E394" s="221"/>
      <c r="F394" s="222">
        <v>31.608000000000001</v>
      </c>
      <c r="G394" s="222">
        <v>31.608000000000001</v>
      </c>
      <c r="H394" s="222">
        <v>31.608000000000001</v>
      </c>
      <c r="I394" s="218"/>
      <c r="J394" s="214"/>
      <c r="K394" s="214"/>
      <c r="L394" s="214"/>
      <c r="M394" s="214"/>
      <c r="N394" s="214"/>
      <c r="O394" s="214"/>
      <c r="P394" s="214"/>
    </row>
    <row r="395" spans="1:16" ht="51" outlineLevel="4">
      <c r="A395" s="220" t="s">
        <v>1184</v>
      </c>
      <c r="B395" s="220" t="s">
        <v>239</v>
      </c>
      <c r="C395" s="220" t="s">
        <v>6</v>
      </c>
      <c r="D395" s="220" t="s">
        <v>1185</v>
      </c>
      <c r="E395" s="221"/>
      <c r="F395" s="222">
        <v>31.608000000000001</v>
      </c>
      <c r="G395" s="222">
        <v>31.608000000000001</v>
      </c>
      <c r="H395" s="222">
        <v>31.608000000000001</v>
      </c>
      <c r="I395" s="218"/>
      <c r="J395" s="214"/>
      <c r="K395" s="214"/>
      <c r="L395" s="214"/>
      <c r="M395" s="214"/>
      <c r="N395" s="214"/>
      <c r="O395" s="214"/>
      <c r="P395" s="214"/>
    </row>
    <row r="396" spans="1:16" ht="76.5" outlineLevel="5">
      <c r="A396" s="220" t="s">
        <v>621</v>
      </c>
      <c r="B396" s="220" t="s">
        <v>239</v>
      </c>
      <c r="C396" s="220" t="s">
        <v>6</v>
      </c>
      <c r="D396" s="220" t="s">
        <v>1185</v>
      </c>
      <c r="E396" s="220" t="s">
        <v>312</v>
      </c>
      <c r="F396" s="222">
        <v>25</v>
      </c>
      <c r="G396" s="222">
        <v>25</v>
      </c>
      <c r="H396" s="222">
        <v>25</v>
      </c>
      <c r="I396" s="218"/>
      <c r="J396" s="214"/>
      <c r="K396" s="214"/>
      <c r="L396" s="214"/>
      <c r="M396" s="214"/>
      <c r="N396" s="214"/>
      <c r="O396" s="214"/>
      <c r="P396" s="214"/>
    </row>
    <row r="397" spans="1:16" ht="38.25" outlineLevel="5">
      <c r="A397" s="220" t="s">
        <v>616</v>
      </c>
      <c r="B397" s="220" t="s">
        <v>239</v>
      </c>
      <c r="C397" s="220" t="s">
        <v>6</v>
      </c>
      <c r="D397" s="220" t="s">
        <v>1185</v>
      </c>
      <c r="E397" s="220" t="s">
        <v>313</v>
      </c>
      <c r="F397" s="222">
        <v>4.2</v>
      </c>
      <c r="G397" s="222">
        <v>4.2</v>
      </c>
      <c r="H397" s="222">
        <v>4.2</v>
      </c>
      <c r="I397" s="218"/>
      <c r="J397" s="214"/>
      <c r="K397" s="214"/>
      <c r="L397" s="214"/>
      <c r="M397" s="214"/>
      <c r="N397" s="214"/>
      <c r="O397" s="214"/>
      <c r="P397" s="214"/>
    </row>
    <row r="398" spans="1:16" outlineLevel="5">
      <c r="A398" s="220" t="s">
        <v>623</v>
      </c>
      <c r="B398" s="220" t="s">
        <v>239</v>
      </c>
      <c r="C398" s="220" t="s">
        <v>6</v>
      </c>
      <c r="D398" s="220" t="s">
        <v>1185</v>
      </c>
      <c r="E398" s="220" t="s">
        <v>314</v>
      </c>
      <c r="F398" s="222">
        <v>2.4079999999999999</v>
      </c>
      <c r="G398" s="222">
        <v>2.4079999999999999</v>
      </c>
      <c r="H398" s="222">
        <v>2.4079999999999999</v>
      </c>
      <c r="I398" s="218"/>
      <c r="J398" s="214"/>
      <c r="K398" s="214"/>
      <c r="L398" s="214"/>
      <c r="M398" s="214"/>
      <c r="N398" s="214"/>
      <c r="O398" s="214"/>
      <c r="P398" s="214"/>
    </row>
    <row r="399" spans="1:16" ht="76.5" outlineLevel="2">
      <c r="A399" s="220" t="s">
        <v>1186</v>
      </c>
      <c r="B399" s="221"/>
      <c r="C399" s="221"/>
      <c r="D399" s="220" t="s">
        <v>1187</v>
      </c>
      <c r="E399" s="221"/>
      <c r="F399" s="222">
        <v>576</v>
      </c>
      <c r="G399" s="222">
        <v>500</v>
      </c>
      <c r="H399" s="222">
        <v>500</v>
      </c>
      <c r="I399" s="218"/>
      <c r="J399" s="214"/>
      <c r="K399" s="214"/>
      <c r="L399" s="214"/>
      <c r="M399" s="214"/>
      <c r="N399" s="214"/>
      <c r="O399" s="214"/>
      <c r="P399" s="214"/>
    </row>
    <row r="400" spans="1:16" ht="25.5" outlineLevel="3">
      <c r="A400" s="220" t="s">
        <v>661</v>
      </c>
      <c r="B400" s="220" t="s">
        <v>242</v>
      </c>
      <c r="C400" s="220" t="s">
        <v>243</v>
      </c>
      <c r="D400" s="220" t="s">
        <v>1187</v>
      </c>
      <c r="E400" s="221"/>
      <c r="F400" s="222">
        <v>576</v>
      </c>
      <c r="G400" s="222">
        <v>500</v>
      </c>
      <c r="H400" s="222">
        <v>500</v>
      </c>
      <c r="I400" s="218"/>
      <c r="J400" s="214"/>
      <c r="K400" s="214"/>
      <c r="L400" s="214"/>
      <c r="M400" s="214"/>
      <c r="N400" s="214"/>
      <c r="O400" s="214"/>
      <c r="P400" s="214"/>
    </row>
    <row r="401" spans="1:16" ht="63.75" outlineLevel="4">
      <c r="A401" s="220" t="s">
        <v>1188</v>
      </c>
      <c r="B401" s="220" t="s">
        <v>242</v>
      </c>
      <c r="C401" s="220" t="s">
        <v>243</v>
      </c>
      <c r="D401" s="220" t="s">
        <v>1189</v>
      </c>
      <c r="E401" s="221"/>
      <c r="F401" s="222">
        <v>576</v>
      </c>
      <c r="G401" s="222">
        <v>500</v>
      </c>
      <c r="H401" s="222">
        <v>500</v>
      </c>
      <c r="I401" s="218"/>
      <c r="J401" s="214"/>
      <c r="K401" s="214"/>
      <c r="L401" s="214"/>
      <c r="M401" s="214"/>
      <c r="N401" s="214"/>
      <c r="O401" s="214"/>
      <c r="P401" s="214"/>
    </row>
    <row r="402" spans="1:16" ht="38.25" outlineLevel="5">
      <c r="A402" s="220" t="s">
        <v>612</v>
      </c>
      <c r="B402" s="220" t="s">
        <v>242</v>
      </c>
      <c r="C402" s="220" t="s">
        <v>243</v>
      </c>
      <c r="D402" s="220" t="s">
        <v>1189</v>
      </c>
      <c r="E402" s="220" t="s">
        <v>315</v>
      </c>
      <c r="F402" s="222">
        <v>576</v>
      </c>
      <c r="G402" s="222">
        <v>500</v>
      </c>
      <c r="H402" s="222">
        <v>500</v>
      </c>
      <c r="I402" s="218"/>
      <c r="J402" s="214"/>
      <c r="K402" s="214"/>
      <c r="L402" s="214"/>
      <c r="M402" s="214"/>
      <c r="N402" s="214"/>
      <c r="O402" s="214"/>
      <c r="P402" s="214"/>
    </row>
    <row r="403" spans="1:16" ht="38.25" outlineLevel="2">
      <c r="A403" s="220" t="s">
        <v>664</v>
      </c>
      <c r="B403" s="221"/>
      <c r="C403" s="221"/>
      <c r="D403" s="220" t="s">
        <v>1190</v>
      </c>
      <c r="E403" s="221"/>
      <c r="F403" s="222">
        <v>200</v>
      </c>
      <c r="G403" s="222">
        <v>200</v>
      </c>
      <c r="H403" s="222">
        <v>200</v>
      </c>
      <c r="I403" s="218"/>
      <c r="J403" s="214"/>
      <c r="K403" s="214"/>
      <c r="L403" s="214"/>
      <c r="M403" s="214"/>
      <c r="N403" s="214"/>
      <c r="O403" s="214"/>
      <c r="P403" s="214"/>
    </row>
    <row r="404" spans="1:16" outlineLevel="3">
      <c r="A404" s="220" t="s">
        <v>642</v>
      </c>
      <c r="B404" s="220" t="s">
        <v>239</v>
      </c>
      <c r="C404" s="220" t="s">
        <v>6</v>
      </c>
      <c r="D404" s="220" t="s">
        <v>1190</v>
      </c>
      <c r="E404" s="221"/>
      <c r="F404" s="222">
        <v>200</v>
      </c>
      <c r="G404" s="222">
        <v>200</v>
      </c>
      <c r="H404" s="222">
        <v>200</v>
      </c>
      <c r="I404" s="218"/>
      <c r="J404" s="214"/>
      <c r="K404" s="214"/>
      <c r="L404" s="214"/>
      <c r="M404" s="214"/>
      <c r="N404" s="214"/>
      <c r="O404" s="214"/>
      <c r="P404" s="214"/>
    </row>
    <row r="405" spans="1:16" ht="25.5" outlineLevel="4">
      <c r="A405" s="220" t="s">
        <v>666</v>
      </c>
      <c r="B405" s="220" t="s">
        <v>239</v>
      </c>
      <c r="C405" s="220" t="s">
        <v>6</v>
      </c>
      <c r="D405" s="220" t="s">
        <v>1191</v>
      </c>
      <c r="E405" s="221"/>
      <c r="F405" s="222">
        <v>200</v>
      </c>
      <c r="G405" s="222">
        <v>200</v>
      </c>
      <c r="H405" s="222">
        <v>200</v>
      </c>
      <c r="I405" s="218"/>
      <c r="J405" s="214"/>
      <c r="K405" s="214"/>
      <c r="L405" s="214"/>
      <c r="M405" s="214"/>
      <c r="N405" s="214"/>
      <c r="O405" s="214"/>
      <c r="P405" s="214"/>
    </row>
    <row r="406" spans="1:16" ht="38.25" outlineLevel="5">
      <c r="A406" s="220" t="s">
        <v>612</v>
      </c>
      <c r="B406" s="220" t="s">
        <v>239</v>
      </c>
      <c r="C406" s="220" t="s">
        <v>6</v>
      </c>
      <c r="D406" s="220" t="s">
        <v>1191</v>
      </c>
      <c r="E406" s="220" t="s">
        <v>315</v>
      </c>
      <c r="F406" s="222">
        <v>200</v>
      </c>
      <c r="G406" s="222">
        <v>200</v>
      </c>
      <c r="H406" s="222">
        <v>200</v>
      </c>
      <c r="I406" s="218"/>
      <c r="J406" s="214"/>
      <c r="K406" s="214"/>
      <c r="L406" s="214"/>
      <c r="M406" s="214"/>
      <c r="N406" s="214"/>
      <c r="O406" s="214"/>
      <c r="P406" s="214"/>
    </row>
    <row r="407" spans="1:16" ht="38.25" outlineLevel="2">
      <c r="A407" s="220" t="s">
        <v>717</v>
      </c>
      <c r="B407" s="221"/>
      <c r="C407" s="221"/>
      <c r="D407" s="220" t="s">
        <v>1192</v>
      </c>
      <c r="E407" s="221"/>
      <c r="F407" s="222">
        <v>199.52600000000001</v>
      </c>
      <c r="G407" s="222">
        <v>104.23</v>
      </c>
      <c r="H407" s="222">
        <v>104.23</v>
      </c>
      <c r="I407" s="218"/>
      <c r="J407" s="214"/>
      <c r="K407" s="214"/>
      <c r="L407" s="214"/>
      <c r="M407" s="214"/>
      <c r="N407" s="214"/>
      <c r="O407" s="214"/>
      <c r="P407" s="214"/>
    </row>
    <row r="408" spans="1:16" outlineLevel="3">
      <c r="A408" s="220" t="s">
        <v>718</v>
      </c>
      <c r="B408" s="220" t="s">
        <v>234</v>
      </c>
      <c r="C408" s="220" t="s">
        <v>4</v>
      </c>
      <c r="D408" s="220" t="s">
        <v>1192</v>
      </c>
      <c r="E408" s="221"/>
      <c r="F408" s="222">
        <v>199.52600000000001</v>
      </c>
      <c r="G408" s="222">
        <v>104.23</v>
      </c>
      <c r="H408" s="222">
        <v>104.23</v>
      </c>
      <c r="I408" s="218"/>
      <c r="J408" s="214"/>
      <c r="K408" s="214"/>
      <c r="L408" s="214"/>
      <c r="M408" s="214"/>
      <c r="N408" s="214"/>
      <c r="O408" s="214"/>
      <c r="P408" s="214"/>
    </row>
    <row r="409" spans="1:16" ht="102" outlineLevel="4">
      <c r="A409" s="220" t="s">
        <v>719</v>
      </c>
      <c r="B409" s="220" t="s">
        <v>234</v>
      </c>
      <c r="C409" s="220" t="s">
        <v>4</v>
      </c>
      <c r="D409" s="220" t="s">
        <v>1193</v>
      </c>
      <c r="E409" s="221"/>
      <c r="F409" s="222">
        <v>199.52600000000001</v>
      </c>
      <c r="G409" s="222">
        <v>104.23</v>
      </c>
      <c r="H409" s="222">
        <v>104.23</v>
      </c>
      <c r="I409" s="218"/>
      <c r="J409" s="214"/>
      <c r="K409" s="214"/>
      <c r="L409" s="214"/>
      <c r="M409" s="214"/>
      <c r="N409" s="214"/>
      <c r="O409" s="214"/>
      <c r="P409" s="214"/>
    </row>
    <row r="410" spans="1:16" ht="38.25" outlineLevel="5">
      <c r="A410" s="220" t="s">
        <v>612</v>
      </c>
      <c r="B410" s="220" t="s">
        <v>234</v>
      </c>
      <c r="C410" s="220" t="s">
        <v>4</v>
      </c>
      <c r="D410" s="220" t="s">
        <v>1193</v>
      </c>
      <c r="E410" s="220" t="s">
        <v>315</v>
      </c>
      <c r="F410" s="222">
        <v>199.52600000000001</v>
      </c>
      <c r="G410" s="222">
        <v>104.23</v>
      </c>
      <c r="H410" s="222">
        <v>104.23</v>
      </c>
      <c r="I410" s="218"/>
      <c r="J410" s="214"/>
      <c r="K410" s="214"/>
      <c r="L410" s="214"/>
      <c r="M410" s="214"/>
      <c r="N410" s="214"/>
      <c r="O410" s="214"/>
      <c r="P410" s="214"/>
    </row>
    <row r="411" spans="1:16" ht="25.5" outlineLevel="2">
      <c r="A411" s="220" t="s">
        <v>1194</v>
      </c>
      <c r="B411" s="221"/>
      <c r="C411" s="221"/>
      <c r="D411" s="220" t="s">
        <v>1195</v>
      </c>
      <c r="E411" s="221"/>
      <c r="F411" s="222">
        <v>206.4</v>
      </c>
      <c r="G411" s="222">
        <v>206.4</v>
      </c>
      <c r="H411" s="222">
        <v>206.4</v>
      </c>
      <c r="I411" s="218"/>
      <c r="J411" s="214"/>
      <c r="K411" s="214"/>
      <c r="L411" s="214"/>
      <c r="M411" s="214"/>
      <c r="N411" s="214"/>
      <c r="O411" s="214"/>
      <c r="P411" s="214"/>
    </row>
    <row r="412" spans="1:16" outlineLevel="3">
      <c r="A412" s="220" t="s">
        <v>642</v>
      </c>
      <c r="B412" s="220" t="s">
        <v>239</v>
      </c>
      <c r="C412" s="220" t="s">
        <v>6</v>
      </c>
      <c r="D412" s="220" t="s">
        <v>1195</v>
      </c>
      <c r="E412" s="221"/>
      <c r="F412" s="222">
        <v>206.4</v>
      </c>
      <c r="G412" s="222">
        <v>206.4</v>
      </c>
      <c r="H412" s="222">
        <v>206.4</v>
      </c>
      <c r="I412" s="218"/>
      <c r="J412" s="214"/>
      <c r="K412" s="214"/>
      <c r="L412" s="214"/>
      <c r="M412" s="214"/>
      <c r="N412" s="214"/>
      <c r="O412" s="214"/>
      <c r="P412" s="214"/>
    </row>
    <row r="413" spans="1:16" ht="38.25" outlineLevel="4">
      <c r="A413" s="220" t="s">
        <v>1196</v>
      </c>
      <c r="B413" s="220" t="s">
        <v>239</v>
      </c>
      <c r="C413" s="220" t="s">
        <v>6</v>
      </c>
      <c r="D413" s="220" t="s">
        <v>1197</v>
      </c>
      <c r="E413" s="221"/>
      <c r="F413" s="222">
        <v>206.4</v>
      </c>
      <c r="G413" s="222">
        <v>206.4</v>
      </c>
      <c r="H413" s="222">
        <v>206.4</v>
      </c>
      <c r="I413" s="218"/>
      <c r="J413" s="214"/>
      <c r="K413" s="214"/>
      <c r="L413" s="214"/>
      <c r="M413" s="214"/>
      <c r="N413" s="214"/>
      <c r="O413" s="214"/>
      <c r="P413" s="214"/>
    </row>
    <row r="414" spans="1:16" ht="38.25" outlineLevel="5">
      <c r="A414" s="220" t="s">
        <v>616</v>
      </c>
      <c r="B414" s="220" t="s">
        <v>239</v>
      </c>
      <c r="C414" s="220" t="s">
        <v>6</v>
      </c>
      <c r="D414" s="220" t="s">
        <v>1197</v>
      </c>
      <c r="E414" s="220" t="s">
        <v>313</v>
      </c>
      <c r="F414" s="222">
        <v>206.4</v>
      </c>
      <c r="G414" s="222">
        <v>206.4</v>
      </c>
      <c r="H414" s="222">
        <v>206.4</v>
      </c>
      <c r="I414" s="218"/>
      <c r="J414" s="214"/>
      <c r="K414" s="214"/>
      <c r="L414" s="214"/>
      <c r="M414" s="214"/>
      <c r="N414" s="214"/>
      <c r="O414" s="214"/>
      <c r="P414" s="214"/>
    </row>
    <row r="415" spans="1:16" ht="38.25">
      <c r="A415" s="220" t="s">
        <v>496</v>
      </c>
      <c r="B415" s="221"/>
      <c r="C415" s="221"/>
      <c r="D415" s="220" t="s">
        <v>438</v>
      </c>
      <c r="E415" s="221"/>
      <c r="F415" s="222">
        <v>33292.160000000003</v>
      </c>
      <c r="G415" s="222">
        <v>31818.53688</v>
      </c>
      <c r="H415" s="222">
        <v>18687.62</v>
      </c>
      <c r="I415" s="218"/>
      <c r="J415" s="214"/>
      <c r="K415" s="214"/>
      <c r="L415" s="214"/>
      <c r="M415" s="214"/>
      <c r="N415" s="214"/>
      <c r="O415" s="214"/>
      <c r="P415" s="214"/>
    </row>
    <row r="416" spans="1:16" ht="51" outlineLevel="1">
      <c r="A416" s="220" t="s">
        <v>1078</v>
      </c>
      <c r="B416" s="221"/>
      <c r="C416" s="221"/>
      <c r="D416" s="220" t="s">
        <v>439</v>
      </c>
      <c r="E416" s="221"/>
      <c r="F416" s="222">
        <v>12052.86</v>
      </c>
      <c r="G416" s="222">
        <v>10579.23688</v>
      </c>
      <c r="H416" s="222">
        <v>7448.32</v>
      </c>
      <c r="I416" s="218"/>
      <c r="J416" s="214"/>
      <c r="K416" s="214"/>
      <c r="L416" s="214"/>
      <c r="M416" s="214"/>
      <c r="N416" s="214"/>
      <c r="O416" s="214"/>
      <c r="P416" s="214"/>
    </row>
    <row r="417" spans="1:16" ht="63.75" outlineLevel="2">
      <c r="A417" s="220" t="s">
        <v>1198</v>
      </c>
      <c r="B417" s="221"/>
      <c r="C417" s="221"/>
      <c r="D417" s="220" t="s">
        <v>440</v>
      </c>
      <c r="E417" s="221"/>
      <c r="F417" s="222">
        <v>12052.86</v>
      </c>
      <c r="G417" s="222">
        <v>10579.23688</v>
      </c>
      <c r="H417" s="222">
        <v>7448.32</v>
      </c>
      <c r="I417" s="218"/>
      <c r="J417" s="214"/>
      <c r="K417" s="214"/>
      <c r="L417" s="214"/>
      <c r="M417" s="214"/>
      <c r="N417" s="214"/>
      <c r="O417" s="214"/>
      <c r="P417" s="214"/>
    </row>
    <row r="418" spans="1:16" ht="38.25" outlineLevel="3">
      <c r="A418" s="220" t="s">
        <v>723</v>
      </c>
      <c r="B418" s="220" t="s">
        <v>239</v>
      </c>
      <c r="C418" s="220" t="s">
        <v>243</v>
      </c>
      <c r="D418" s="220" t="s">
        <v>440</v>
      </c>
      <c r="E418" s="221"/>
      <c r="F418" s="222">
        <v>7538.32</v>
      </c>
      <c r="G418" s="222">
        <v>7448.32</v>
      </c>
      <c r="H418" s="222">
        <v>7448.32</v>
      </c>
      <c r="I418" s="218"/>
      <c r="J418" s="214"/>
      <c r="K418" s="214"/>
      <c r="L418" s="214"/>
      <c r="M418" s="214"/>
      <c r="N418" s="214"/>
      <c r="O418" s="214"/>
      <c r="P418" s="214"/>
    </row>
    <row r="419" spans="1:16" ht="38.25" outlineLevel="4">
      <c r="A419" s="220" t="s">
        <v>1081</v>
      </c>
      <c r="B419" s="220" t="s">
        <v>239</v>
      </c>
      <c r="C419" s="220" t="s">
        <v>243</v>
      </c>
      <c r="D419" s="220" t="s">
        <v>1199</v>
      </c>
      <c r="E419" s="221"/>
      <c r="F419" s="222">
        <v>7475.92</v>
      </c>
      <c r="G419" s="222">
        <v>7385.92</v>
      </c>
      <c r="H419" s="222">
        <v>7385.92</v>
      </c>
      <c r="I419" s="218"/>
      <c r="J419" s="214"/>
      <c r="K419" s="214"/>
      <c r="L419" s="214"/>
      <c r="M419" s="214"/>
      <c r="N419" s="214"/>
      <c r="O419" s="214"/>
      <c r="P419" s="214"/>
    </row>
    <row r="420" spans="1:16" ht="76.5" outlineLevel="5">
      <c r="A420" s="220" t="s">
        <v>621</v>
      </c>
      <c r="B420" s="220" t="s">
        <v>239</v>
      </c>
      <c r="C420" s="220" t="s">
        <v>243</v>
      </c>
      <c r="D420" s="220" t="s">
        <v>1199</v>
      </c>
      <c r="E420" s="220" t="s">
        <v>312</v>
      </c>
      <c r="F420" s="222">
        <v>6470.82</v>
      </c>
      <c r="G420" s="222">
        <v>6470.82</v>
      </c>
      <c r="H420" s="222">
        <v>6470.82</v>
      </c>
      <c r="I420" s="218"/>
      <c r="J420" s="214"/>
      <c r="K420" s="214"/>
      <c r="L420" s="214"/>
      <c r="M420" s="214"/>
      <c r="N420" s="214"/>
      <c r="O420" s="214"/>
      <c r="P420" s="214"/>
    </row>
    <row r="421" spans="1:16" ht="38.25" outlineLevel="5">
      <c r="A421" s="220" t="s">
        <v>616</v>
      </c>
      <c r="B421" s="220" t="s">
        <v>239</v>
      </c>
      <c r="C421" s="220" t="s">
        <v>243</v>
      </c>
      <c r="D421" s="220" t="s">
        <v>1199</v>
      </c>
      <c r="E421" s="220" t="s">
        <v>313</v>
      </c>
      <c r="F421" s="222">
        <v>993.9</v>
      </c>
      <c r="G421" s="222">
        <v>903.9</v>
      </c>
      <c r="H421" s="222">
        <v>903.9</v>
      </c>
      <c r="I421" s="218"/>
      <c r="J421" s="214"/>
      <c r="K421" s="214"/>
      <c r="L421" s="214"/>
      <c r="M421" s="214"/>
      <c r="N421" s="214"/>
      <c r="O421" s="214"/>
      <c r="P421" s="214"/>
    </row>
    <row r="422" spans="1:16" outlineLevel="5">
      <c r="A422" s="220" t="s">
        <v>623</v>
      </c>
      <c r="B422" s="220" t="s">
        <v>239</v>
      </c>
      <c r="C422" s="220" t="s">
        <v>243</v>
      </c>
      <c r="D422" s="220" t="s">
        <v>1199</v>
      </c>
      <c r="E422" s="220" t="s">
        <v>314</v>
      </c>
      <c r="F422" s="222">
        <v>11.2</v>
      </c>
      <c r="G422" s="222">
        <v>11.2</v>
      </c>
      <c r="H422" s="222">
        <v>11.2</v>
      </c>
      <c r="I422" s="218"/>
      <c r="J422" s="214"/>
      <c r="K422" s="214"/>
      <c r="L422" s="214"/>
      <c r="M422" s="214"/>
      <c r="N422" s="214"/>
      <c r="O422" s="214"/>
      <c r="P422" s="214"/>
    </row>
    <row r="423" spans="1:16" ht="63.75" outlineLevel="4">
      <c r="A423" s="220" t="s">
        <v>1083</v>
      </c>
      <c r="B423" s="220" t="s">
        <v>239</v>
      </c>
      <c r="C423" s="220" t="s">
        <v>243</v>
      </c>
      <c r="D423" s="220" t="s">
        <v>1200</v>
      </c>
      <c r="E423" s="221"/>
      <c r="F423" s="222">
        <v>62.4</v>
      </c>
      <c r="G423" s="222">
        <v>62.4</v>
      </c>
      <c r="H423" s="222">
        <v>62.4</v>
      </c>
      <c r="I423" s="218"/>
      <c r="J423" s="214"/>
      <c r="K423" s="214"/>
      <c r="L423" s="214"/>
      <c r="M423" s="214"/>
      <c r="N423" s="214"/>
      <c r="O423" s="214"/>
      <c r="P423" s="214"/>
    </row>
    <row r="424" spans="1:16" ht="38.25" outlineLevel="5">
      <c r="A424" s="220" t="s">
        <v>616</v>
      </c>
      <c r="B424" s="220" t="s">
        <v>239</v>
      </c>
      <c r="C424" s="220" t="s">
        <v>243</v>
      </c>
      <c r="D424" s="220" t="s">
        <v>1200</v>
      </c>
      <c r="E424" s="220" t="s">
        <v>313</v>
      </c>
      <c r="F424" s="222">
        <v>62.4</v>
      </c>
      <c r="G424" s="222">
        <v>62.4</v>
      </c>
      <c r="H424" s="222">
        <v>62.4</v>
      </c>
      <c r="I424" s="218"/>
      <c r="J424" s="214"/>
      <c r="K424" s="214"/>
      <c r="L424" s="214"/>
      <c r="M424" s="214"/>
      <c r="N424" s="214"/>
      <c r="O424" s="214"/>
      <c r="P424" s="214"/>
    </row>
    <row r="425" spans="1:16" outlineLevel="3">
      <c r="A425" s="220" t="s">
        <v>642</v>
      </c>
      <c r="B425" s="220" t="s">
        <v>239</v>
      </c>
      <c r="C425" s="220" t="s">
        <v>6</v>
      </c>
      <c r="D425" s="220" t="s">
        <v>440</v>
      </c>
      <c r="E425" s="221"/>
      <c r="F425" s="222">
        <v>4514.54</v>
      </c>
      <c r="G425" s="222">
        <v>3130.9168800000002</v>
      </c>
      <c r="H425" s="222">
        <v>0</v>
      </c>
      <c r="I425" s="218"/>
      <c r="J425" s="214"/>
      <c r="K425" s="214"/>
      <c r="L425" s="214"/>
      <c r="M425" s="214"/>
      <c r="N425" s="214"/>
      <c r="O425" s="214"/>
      <c r="P425" s="214"/>
    </row>
    <row r="426" spans="1:16" ht="25.5" outlineLevel="4">
      <c r="A426" s="220" t="s">
        <v>957</v>
      </c>
      <c r="B426" s="220" t="s">
        <v>239</v>
      </c>
      <c r="C426" s="220" t="s">
        <v>6</v>
      </c>
      <c r="D426" s="220" t="s">
        <v>1201</v>
      </c>
      <c r="E426" s="221"/>
      <c r="F426" s="222">
        <v>592.08600000000001</v>
      </c>
      <c r="G426" s="222">
        <v>0</v>
      </c>
      <c r="H426" s="222">
        <v>0</v>
      </c>
      <c r="I426" s="218"/>
      <c r="J426" s="214"/>
      <c r="K426" s="214"/>
      <c r="L426" s="214"/>
      <c r="M426" s="214"/>
      <c r="N426" s="214"/>
      <c r="O426" s="214"/>
      <c r="P426" s="214"/>
    </row>
    <row r="427" spans="1:16" ht="38.25" outlineLevel="5">
      <c r="A427" s="220" t="s">
        <v>612</v>
      </c>
      <c r="B427" s="220" t="s">
        <v>239</v>
      </c>
      <c r="C427" s="220" t="s">
        <v>6</v>
      </c>
      <c r="D427" s="220" t="s">
        <v>1201</v>
      </c>
      <c r="E427" s="220" t="s">
        <v>315</v>
      </c>
      <c r="F427" s="222">
        <v>592.08600000000001</v>
      </c>
      <c r="G427" s="222">
        <v>0</v>
      </c>
      <c r="H427" s="222">
        <v>0</v>
      </c>
      <c r="I427" s="218"/>
      <c r="J427" s="214"/>
      <c r="K427" s="214"/>
      <c r="L427" s="214"/>
      <c r="M427" s="214"/>
      <c r="N427" s="214"/>
      <c r="O427" s="214"/>
      <c r="P427" s="214"/>
    </row>
    <row r="428" spans="1:16" ht="63.75" outlineLevel="4">
      <c r="A428" s="220" t="s">
        <v>1202</v>
      </c>
      <c r="B428" s="220" t="s">
        <v>239</v>
      </c>
      <c r="C428" s="220" t="s">
        <v>6</v>
      </c>
      <c r="D428" s="220" t="s">
        <v>1203</v>
      </c>
      <c r="E428" s="221"/>
      <c r="F428" s="222">
        <v>3922.4540000000002</v>
      </c>
      <c r="G428" s="222">
        <v>3130.9168800000002</v>
      </c>
      <c r="H428" s="222">
        <v>0</v>
      </c>
      <c r="I428" s="218"/>
      <c r="J428" s="214"/>
      <c r="K428" s="214"/>
      <c r="L428" s="214"/>
      <c r="M428" s="214"/>
      <c r="N428" s="214"/>
      <c r="O428" s="214"/>
      <c r="P428" s="214"/>
    </row>
    <row r="429" spans="1:16" ht="38.25" outlineLevel="5">
      <c r="A429" s="220" t="s">
        <v>612</v>
      </c>
      <c r="B429" s="220" t="s">
        <v>239</v>
      </c>
      <c r="C429" s="220" t="s">
        <v>6</v>
      </c>
      <c r="D429" s="220" t="s">
        <v>1203</v>
      </c>
      <c r="E429" s="220" t="s">
        <v>315</v>
      </c>
      <c r="F429" s="222">
        <v>3922.4540000000002</v>
      </c>
      <c r="G429" s="222">
        <v>3130.9168800000002</v>
      </c>
      <c r="H429" s="222">
        <v>0</v>
      </c>
      <c r="I429" s="218"/>
      <c r="J429" s="214"/>
      <c r="K429" s="214"/>
      <c r="L429" s="214"/>
      <c r="M429" s="214"/>
      <c r="N429" s="214"/>
      <c r="O429" s="214"/>
      <c r="P429" s="214"/>
    </row>
    <row r="430" spans="1:16" ht="25.5" outlineLevel="1">
      <c r="A430" s="220" t="s">
        <v>1204</v>
      </c>
      <c r="B430" s="221"/>
      <c r="C430" s="221"/>
      <c r="D430" s="220" t="s">
        <v>441</v>
      </c>
      <c r="E430" s="221"/>
      <c r="F430" s="222">
        <v>21239.3</v>
      </c>
      <c r="G430" s="222">
        <v>21239.3</v>
      </c>
      <c r="H430" s="222">
        <v>11239.3</v>
      </c>
      <c r="I430" s="218"/>
      <c r="J430" s="214"/>
      <c r="K430" s="214"/>
      <c r="L430" s="214"/>
      <c r="M430" s="214"/>
      <c r="N430" s="214"/>
      <c r="O430" s="214"/>
      <c r="P430" s="214"/>
    </row>
    <row r="431" spans="1:16" ht="38.25" outlineLevel="2">
      <c r="A431" s="220" t="s">
        <v>1205</v>
      </c>
      <c r="B431" s="221"/>
      <c r="C431" s="221"/>
      <c r="D431" s="220" t="s">
        <v>442</v>
      </c>
      <c r="E431" s="221"/>
      <c r="F431" s="222">
        <v>21239.3</v>
      </c>
      <c r="G431" s="222">
        <v>21239.3</v>
      </c>
      <c r="H431" s="222">
        <v>11239.3</v>
      </c>
      <c r="I431" s="218"/>
      <c r="J431" s="214"/>
      <c r="K431" s="214"/>
      <c r="L431" s="214"/>
      <c r="M431" s="214"/>
      <c r="N431" s="214"/>
      <c r="O431" s="214"/>
      <c r="P431" s="214"/>
    </row>
    <row r="432" spans="1:16" ht="25.5" outlineLevel="3">
      <c r="A432" s="220" t="s">
        <v>724</v>
      </c>
      <c r="B432" s="220" t="s">
        <v>6</v>
      </c>
      <c r="C432" s="220" t="s">
        <v>239</v>
      </c>
      <c r="D432" s="220" t="s">
        <v>442</v>
      </c>
      <c r="E432" s="221"/>
      <c r="F432" s="222">
        <v>21239.3</v>
      </c>
      <c r="G432" s="222">
        <v>21239.3</v>
      </c>
      <c r="H432" s="222">
        <v>11239.3</v>
      </c>
      <c r="I432" s="218"/>
      <c r="J432" s="214"/>
      <c r="K432" s="214"/>
      <c r="L432" s="214"/>
      <c r="M432" s="214"/>
      <c r="N432" s="214"/>
      <c r="O432" s="214"/>
      <c r="P432" s="214"/>
    </row>
    <row r="433" spans="1:16" ht="25.5" outlineLevel="4">
      <c r="A433" s="220" t="s">
        <v>1206</v>
      </c>
      <c r="B433" s="220" t="s">
        <v>6</v>
      </c>
      <c r="C433" s="220" t="s">
        <v>239</v>
      </c>
      <c r="D433" s="220" t="s">
        <v>443</v>
      </c>
      <c r="E433" s="221"/>
      <c r="F433" s="222">
        <v>21239.3</v>
      </c>
      <c r="G433" s="222">
        <v>21239.3</v>
      </c>
      <c r="H433" s="222">
        <v>11239.3</v>
      </c>
      <c r="I433" s="218"/>
      <c r="J433" s="214"/>
      <c r="K433" s="214"/>
      <c r="L433" s="214"/>
      <c r="M433" s="214"/>
      <c r="N433" s="214"/>
      <c r="O433" s="214"/>
      <c r="P433" s="214"/>
    </row>
    <row r="434" spans="1:16" ht="25.5" outlineLevel="5">
      <c r="A434" s="220" t="s">
        <v>725</v>
      </c>
      <c r="B434" s="220" t="s">
        <v>6</v>
      </c>
      <c r="C434" s="220" t="s">
        <v>239</v>
      </c>
      <c r="D434" s="220" t="s">
        <v>443</v>
      </c>
      <c r="E434" s="220" t="s">
        <v>316</v>
      </c>
      <c r="F434" s="222">
        <v>21239.3</v>
      </c>
      <c r="G434" s="222">
        <v>21239.3</v>
      </c>
      <c r="H434" s="222">
        <v>11239.3</v>
      </c>
      <c r="I434" s="218"/>
      <c r="J434" s="214"/>
      <c r="K434" s="214"/>
      <c r="L434" s="214"/>
      <c r="M434" s="214"/>
      <c r="N434" s="214"/>
      <c r="O434" s="214"/>
      <c r="P434" s="214"/>
    </row>
    <row r="435" spans="1:16" ht="38.25">
      <c r="A435" s="220" t="s">
        <v>497</v>
      </c>
      <c r="B435" s="221"/>
      <c r="C435" s="221"/>
      <c r="D435" s="220" t="s">
        <v>444</v>
      </c>
      <c r="E435" s="221"/>
      <c r="F435" s="222">
        <v>51273.090799999998</v>
      </c>
      <c r="G435" s="222">
        <v>49766.589</v>
      </c>
      <c r="H435" s="222">
        <v>49766.589</v>
      </c>
      <c r="I435" s="218"/>
      <c r="J435" s="214"/>
      <c r="K435" s="214"/>
      <c r="L435" s="214"/>
      <c r="M435" s="214"/>
      <c r="N435" s="214"/>
      <c r="O435" s="214"/>
      <c r="P435" s="214"/>
    </row>
    <row r="436" spans="1:16" ht="38.25" outlineLevel="1">
      <c r="A436" s="220" t="s">
        <v>1207</v>
      </c>
      <c r="B436" s="221"/>
      <c r="C436" s="221"/>
      <c r="D436" s="220" t="s">
        <v>445</v>
      </c>
      <c r="E436" s="221"/>
      <c r="F436" s="222">
        <v>50873.090799999998</v>
      </c>
      <c r="G436" s="222">
        <v>49366.589</v>
      </c>
      <c r="H436" s="222">
        <v>49366.589</v>
      </c>
      <c r="I436" s="218"/>
      <c r="J436" s="214"/>
      <c r="K436" s="214"/>
      <c r="L436" s="214"/>
      <c r="M436" s="214"/>
      <c r="N436" s="214"/>
      <c r="O436" s="214"/>
      <c r="P436" s="214"/>
    </row>
    <row r="437" spans="1:16" ht="51" outlineLevel="2">
      <c r="A437" s="220" t="s">
        <v>1079</v>
      </c>
      <c r="B437" s="221"/>
      <c r="C437" s="221"/>
      <c r="D437" s="220" t="s">
        <v>446</v>
      </c>
      <c r="E437" s="221"/>
      <c r="F437" s="222">
        <v>40967.445800000001</v>
      </c>
      <c r="G437" s="222">
        <v>39658.964</v>
      </c>
      <c r="H437" s="222">
        <v>39658.964</v>
      </c>
      <c r="I437" s="218"/>
      <c r="J437" s="214"/>
      <c r="K437" s="214"/>
      <c r="L437" s="214"/>
      <c r="M437" s="214"/>
      <c r="N437" s="214"/>
      <c r="O437" s="214"/>
      <c r="P437" s="214"/>
    </row>
    <row r="438" spans="1:16" ht="38.25" outlineLevel="3">
      <c r="A438" s="220" t="s">
        <v>726</v>
      </c>
      <c r="B438" s="220" t="s">
        <v>239</v>
      </c>
      <c r="C438" s="220" t="s">
        <v>237</v>
      </c>
      <c r="D438" s="220" t="s">
        <v>446</v>
      </c>
      <c r="E438" s="221"/>
      <c r="F438" s="222">
        <v>1379.943</v>
      </c>
      <c r="G438" s="222">
        <v>1379.943</v>
      </c>
      <c r="H438" s="222">
        <v>1379.943</v>
      </c>
      <c r="I438" s="218"/>
      <c r="J438" s="214"/>
      <c r="K438" s="214"/>
      <c r="L438" s="214"/>
      <c r="M438" s="214"/>
      <c r="N438" s="214"/>
      <c r="O438" s="214"/>
      <c r="P438" s="214"/>
    </row>
    <row r="439" spans="1:16" ht="25.5" outlineLevel="4">
      <c r="A439" s="220" t="s">
        <v>727</v>
      </c>
      <c r="B439" s="220" t="s">
        <v>239</v>
      </c>
      <c r="C439" s="220" t="s">
        <v>237</v>
      </c>
      <c r="D439" s="220" t="s">
        <v>447</v>
      </c>
      <c r="E439" s="221"/>
      <c r="F439" s="222">
        <v>1379.943</v>
      </c>
      <c r="G439" s="222">
        <v>1379.943</v>
      </c>
      <c r="H439" s="222">
        <v>1379.943</v>
      </c>
      <c r="I439" s="218"/>
      <c r="J439" s="214"/>
      <c r="K439" s="214"/>
      <c r="L439" s="214"/>
      <c r="M439" s="214"/>
      <c r="N439" s="214"/>
      <c r="O439" s="214"/>
      <c r="P439" s="214"/>
    </row>
    <row r="440" spans="1:16" ht="76.5" outlineLevel="5">
      <c r="A440" s="220" t="s">
        <v>621</v>
      </c>
      <c r="B440" s="220" t="s">
        <v>239</v>
      </c>
      <c r="C440" s="220" t="s">
        <v>237</v>
      </c>
      <c r="D440" s="220" t="s">
        <v>447</v>
      </c>
      <c r="E440" s="220" t="s">
        <v>312</v>
      </c>
      <c r="F440" s="222">
        <v>1379.943</v>
      </c>
      <c r="G440" s="222">
        <v>1379.943</v>
      </c>
      <c r="H440" s="222">
        <v>1379.943</v>
      </c>
      <c r="I440" s="218"/>
      <c r="J440" s="214"/>
      <c r="K440" s="214"/>
      <c r="L440" s="214"/>
      <c r="M440" s="214"/>
      <c r="N440" s="214"/>
      <c r="O440" s="214"/>
      <c r="P440" s="214"/>
    </row>
    <row r="441" spans="1:16" ht="63.75" outlineLevel="3">
      <c r="A441" s="220" t="s">
        <v>728</v>
      </c>
      <c r="B441" s="220" t="s">
        <v>239</v>
      </c>
      <c r="C441" s="220" t="s">
        <v>234</v>
      </c>
      <c r="D441" s="220" t="s">
        <v>446</v>
      </c>
      <c r="E441" s="221"/>
      <c r="F441" s="222">
        <v>39587.502800000002</v>
      </c>
      <c r="G441" s="222">
        <v>38279.021000000001</v>
      </c>
      <c r="H441" s="222">
        <v>38279.021000000001</v>
      </c>
      <c r="I441" s="218"/>
      <c r="J441" s="214"/>
      <c r="K441" s="214"/>
      <c r="L441" s="214"/>
      <c r="M441" s="214"/>
      <c r="N441" s="214"/>
      <c r="O441" s="214"/>
      <c r="P441" s="214"/>
    </row>
    <row r="442" spans="1:16" ht="38.25" outlineLevel="4">
      <c r="A442" s="220" t="s">
        <v>1081</v>
      </c>
      <c r="B442" s="220" t="s">
        <v>239</v>
      </c>
      <c r="C442" s="220" t="s">
        <v>234</v>
      </c>
      <c r="D442" s="220" t="s">
        <v>448</v>
      </c>
      <c r="E442" s="221"/>
      <c r="F442" s="222">
        <v>39587.502800000002</v>
      </c>
      <c r="G442" s="222">
        <v>38279.021000000001</v>
      </c>
      <c r="H442" s="222">
        <v>38279.021000000001</v>
      </c>
      <c r="I442" s="218"/>
      <c r="J442" s="214"/>
      <c r="K442" s="214"/>
      <c r="L442" s="214"/>
      <c r="M442" s="214"/>
      <c r="N442" s="214"/>
      <c r="O442" s="214"/>
      <c r="P442" s="214"/>
    </row>
    <row r="443" spans="1:16" ht="76.5" outlineLevel="5">
      <c r="A443" s="220" t="s">
        <v>621</v>
      </c>
      <c r="B443" s="220" t="s">
        <v>239</v>
      </c>
      <c r="C443" s="220" t="s">
        <v>234</v>
      </c>
      <c r="D443" s="220" t="s">
        <v>448</v>
      </c>
      <c r="E443" s="220" t="s">
        <v>312</v>
      </c>
      <c r="F443" s="222">
        <v>30826.705999999998</v>
      </c>
      <c r="G443" s="222">
        <v>30800.2</v>
      </c>
      <c r="H443" s="222">
        <v>30800.2</v>
      </c>
      <c r="I443" s="218"/>
      <c r="J443" s="214"/>
      <c r="K443" s="214"/>
      <c r="L443" s="214"/>
      <c r="M443" s="214"/>
      <c r="N443" s="214"/>
      <c r="O443" s="214"/>
      <c r="P443" s="214"/>
    </row>
    <row r="444" spans="1:16" ht="38.25" outlineLevel="5">
      <c r="A444" s="220" t="s">
        <v>616</v>
      </c>
      <c r="B444" s="220" t="s">
        <v>239</v>
      </c>
      <c r="C444" s="220" t="s">
        <v>234</v>
      </c>
      <c r="D444" s="220" t="s">
        <v>448</v>
      </c>
      <c r="E444" s="220" t="s">
        <v>313</v>
      </c>
      <c r="F444" s="222">
        <v>8474.7448000000004</v>
      </c>
      <c r="G444" s="222">
        <v>7251.1210000000001</v>
      </c>
      <c r="H444" s="222">
        <v>7251.1210000000001</v>
      </c>
      <c r="I444" s="218"/>
      <c r="J444" s="214"/>
      <c r="K444" s="214"/>
      <c r="L444" s="214"/>
      <c r="M444" s="214"/>
      <c r="N444" s="214"/>
      <c r="O444" s="214"/>
      <c r="P444" s="214"/>
    </row>
    <row r="445" spans="1:16" ht="25.5" outlineLevel="5">
      <c r="A445" s="220" t="s">
        <v>617</v>
      </c>
      <c r="B445" s="220" t="s">
        <v>239</v>
      </c>
      <c r="C445" s="220" t="s">
        <v>234</v>
      </c>
      <c r="D445" s="220" t="s">
        <v>448</v>
      </c>
      <c r="E445" s="220" t="s">
        <v>318</v>
      </c>
      <c r="F445" s="222">
        <v>58.351999999999997</v>
      </c>
      <c r="G445" s="222">
        <v>0</v>
      </c>
      <c r="H445" s="222">
        <v>0</v>
      </c>
      <c r="I445" s="218"/>
      <c r="J445" s="214"/>
      <c r="K445" s="214"/>
      <c r="L445" s="214"/>
      <c r="M445" s="214"/>
      <c r="N445" s="214"/>
      <c r="O445" s="214"/>
      <c r="P445" s="214"/>
    </row>
    <row r="446" spans="1:16" outlineLevel="5">
      <c r="A446" s="220" t="s">
        <v>623</v>
      </c>
      <c r="B446" s="220" t="s">
        <v>239</v>
      </c>
      <c r="C446" s="220" t="s">
        <v>234</v>
      </c>
      <c r="D446" s="220" t="s">
        <v>448</v>
      </c>
      <c r="E446" s="220" t="s">
        <v>314</v>
      </c>
      <c r="F446" s="222">
        <v>227.7</v>
      </c>
      <c r="G446" s="222">
        <v>227.7</v>
      </c>
      <c r="H446" s="222">
        <v>227.7</v>
      </c>
      <c r="I446" s="218"/>
      <c r="J446" s="214"/>
      <c r="K446" s="214"/>
      <c r="L446" s="214"/>
      <c r="M446" s="214"/>
      <c r="N446" s="214"/>
      <c r="O446" s="214"/>
      <c r="P446" s="214"/>
    </row>
    <row r="447" spans="1:16" ht="38.25" outlineLevel="2">
      <c r="A447" s="220" t="s">
        <v>731</v>
      </c>
      <c r="B447" s="221"/>
      <c r="C447" s="221"/>
      <c r="D447" s="220" t="s">
        <v>449</v>
      </c>
      <c r="E447" s="221"/>
      <c r="F447" s="222">
        <v>1495.905</v>
      </c>
      <c r="G447" s="222">
        <v>1453.627</v>
      </c>
      <c r="H447" s="222">
        <v>1453.627</v>
      </c>
      <c r="I447" s="218"/>
      <c r="J447" s="214"/>
      <c r="K447" s="214"/>
      <c r="L447" s="214"/>
      <c r="M447" s="214"/>
      <c r="N447" s="214"/>
      <c r="O447" s="214"/>
      <c r="P447" s="214"/>
    </row>
    <row r="448" spans="1:16" ht="63.75" outlineLevel="3">
      <c r="A448" s="220" t="s">
        <v>728</v>
      </c>
      <c r="B448" s="220" t="s">
        <v>239</v>
      </c>
      <c r="C448" s="220" t="s">
        <v>234</v>
      </c>
      <c r="D448" s="220" t="s">
        <v>449</v>
      </c>
      <c r="E448" s="221"/>
      <c r="F448" s="222">
        <v>1462.7070000000001</v>
      </c>
      <c r="G448" s="222">
        <v>1420.4290000000001</v>
      </c>
      <c r="H448" s="222">
        <v>1420.4290000000001</v>
      </c>
      <c r="I448" s="218"/>
      <c r="J448" s="214"/>
      <c r="K448" s="214"/>
      <c r="L448" s="214"/>
      <c r="M448" s="214"/>
      <c r="N448" s="214"/>
      <c r="O448" s="214"/>
      <c r="P448" s="214"/>
    </row>
    <row r="449" spans="1:16" ht="38.25" outlineLevel="4">
      <c r="A449" s="220" t="s">
        <v>733</v>
      </c>
      <c r="B449" s="220" t="s">
        <v>239</v>
      </c>
      <c r="C449" s="220" t="s">
        <v>234</v>
      </c>
      <c r="D449" s="220" t="s">
        <v>451</v>
      </c>
      <c r="E449" s="221"/>
      <c r="F449" s="222">
        <v>1462.7070000000001</v>
      </c>
      <c r="G449" s="222">
        <v>1420.4290000000001</v>
      </c>
      <c r="H449" s="222">
        <v>1420.4290000000001</v>
      </c>
      <c r="I449" s="218"/>
      <c r="J449" s="214"/>
      <c r="K449" s="214"/>
      <c r="L449" s="214"/>
      <c r="M449" s="214"/>
      <c r="N449" s="214"/>
      <c r="O449" s="214"/>
      <c r="P449" s="214"/>
    </row>
    <row r="450" spans="1:16" ht="76.5" outlineLevel="5">
      <c r="A450" s="220" t="s">
        <v>621</v>
      </c>
      <c r="B450" s="220" t="s">
        <v>239</v>
      </c>
      <c r="C450" s="220" t="s">
        <v>234</v>
      </c>
      <c r="D450" s="220" t="s">
        <v>451</v>
      </c>
      <c r="E450" s="220" t="s">
        <v>312</v>
      </c>
      <c r="F450" s="222">
        <v>978.7</v>
      </c>
      <c r="G450" s="222">
        <v>978.7</v>
      </c>
      <c r="H450" s="222">
        <v>978.7</v>
      </c>
      <c r="I450" s="218"/>
      <c r="J450" s="214"/>
      <c r="K450" s="214"/>
      <c r="L450" s="214"/>
      <c r="M450" s="214"/>
      <c r="N450" s="214"/>
      <c r="O450" s="214"/>
      <c r="P450" s="214"/>
    </row>
    <row r="451" spans="1:16" ht="38.25" outlineLevel="5">
      <c r="A451" s="220" t="s">
        <v>616</v>
      </c>
      <c r="B451" s="220" t="s">
        <v>239</v>
      </c>
      <c r="C451" s="220" t="s">
        <v>234</v>
      </c>
      <c r="D451" s="220" t="s">
        <v>451</v>
      </c>
      <c r="E451" s="220" t="s">
        <v>313</v>
      </c>
      <c r="F451" s="222">
        <v>484.00700000000001</v>
      </c>
      <c r="G451" s="222">
        <v>441.72899999999998</v>
      </c>
      <c r="H451" s="222">
        <v>441.72899999999998</v>
      </c>
      <c r="I451" s="218"/>
      <c r="J451" s="214"/>
      <c r="K451" s="214"/>
      <c r="L451" s="214"/>
      <c r="M451" s="214"/>
      <c r="N451" s="214"/>
      <c r="O451" s="214"/>
      <c r="P451" s="214"/>
    </row>
    <row r="452" spans="1:16" outlineLevel="3">
      <c r="A452" s="220" t="s">
        <v>642</v>
      </c>
      <c r="B452" s="220" t="s">
        <v>239</v>
      </c>
      <c r="C452" s="220" t="s">
        <v>6</v>
      </c>
      <c r="D452" s="220" t="s">
        <v>449</v>
      </c>
      <c r="E452" s="221"/>
      <c r="F452" s="222">
        <v>33.198</v>
      </c>
      <c r="G452" s="222">
        <v>33.198</v>
      </c>
      <c r="H452" s="222">
        <v>33.198</v>
      </c>
      <c r="I452" s="218"/>
      <c r="J452" s="214"/>
      <c r="K452" s="214"/>
      <c r="L452" s="214"/>
      <c r="M452" s="214"/>
      <c r="N452" s="214"/>
      <c r="O452" s="214"/>
      <c r="P452" s="214"/>
    </row>
    <row r="453" spans="1:16" ht="38.25" outlineLevel="4">
      <c r="A453" s="220" t="s">
        <v>732</v>
      </c>
      <c r="B453" s="220" t="s">
        <v>239</v>
      </c>
      <c r="C453" s="220" t="s">
        <v>6</v>
      </c>
      <c r="D453" s="220" t="s">
        <v>450</v>
      </c>
      <c r="E453" s="221"/>
      <c r="F453" s="222">
        <v>33.198</v>
      </c>
      <c r="G453" s="222">
        <v>33.198</v>
      </c>
      <c r="H453" s="222">
        <v>33.198</v>
      </c>
      <c r="I453" s="218"/>
      <c r="J453" s="214"/>
      <c r="K453" s="214"/>
      <c r="L453" s="214"/>
      <c r="M453" s="214"/>
      <c r="N453" s="214"/>
      <c r="O453" s="214"/>
      <c r="P453" s="214"/>
    </row>
    <row r="454" spans="1:16" ht="38.25" outlineLevel="5">
      <c r="A454" s="220" t="s">
        <v>616</v>
      </c>
      <c r="B454" s="220" t="s">
        <v>239</v>
      </c>
      <c r="C454" s="220" t="s">
        <v>6</v>
      </c>
      <c r="D454" s="220" t="s">
        <v>450</v>
      </c>
      <c r="E454" s="220" t="s">
        <v>313</v>
      </c>
      <c r="F454" s="222">
        <v>33.198</v>
      </c>
      <c r="G454" s="222">
        <v>33.198</v>
      </c>
      <c r="H454" s="222">
        <v>33.198</v>
      </c>
      <c r="I454" s="218"/>
      <c r="J454" s="214"/>
      <c r="K454" s="214"/>
      <c r="L454" s="214"/>
      <c r="M454" s="214"/>
      <c r="N454" s="214"/>
      <c r="O454" s="214"/>
      <c r="P454" s="214"/>
    </row>
    <row r="455" spans="1:16" ht="63.75" outlineLevel="2">
      <c r="A455" s="220" t="s">
        <v>1208</v>
      </c>
      <c r="B455" s="221"/>
      <c r="C455" s="221"/>
      <c r="D455" s="220" t="s">
        <v>1209</v>
      </c>
      <c r="E455" s="221"/>
      <c r="F455" s="222">
        <v>6646.82</v>
      </c>
      <c r="G455" s="222">
        <v>6492.9059999999999</v>
      </c>
      <c r="H455" s="222">
        <v>6492.9059999999999</v>
      </c>
      <c r="I455" s="218"/>
      <c r="J455" s="214"/>
      <c r="K455" s="214"/>
      <c r="L455" s="214"/>
      <c r="M455" s="214"/>
      <c r="N455" s="214"/>
      <c r="O455" s="214"/>
      <c r="P455" s="214"/>
    </row>
    <row r="456" spans="1:16" outlineLevel="3">
      <c r="A456" s="220" t="s">
        <v>642</v>
      </c>
      <c r="B456" s="220" t="s">
        <v>239</v>
      </c>
      <c r="C456" s="220" t="s">
        <v>6</v>
      </c>
      <c r="D456" s="220" t="s">
        <v>1209</v>
      </c>
      <c r="E456" s="221"/>
      <c r="F456" s="222">
        <v>6646.82</v>
      </c>
      <c r="G456" s="222">
        <v>6492.9059999999999</v>
      </c>
      <c r="H456" s="222">
        <v>6492.9059999999999</v>
      </c>
      <c r="I456" s="218"/>
      <c r="J456" s="214"/>
      <c r="K456" s="214"/>
      <c r="L456" s="214"/>
      <c r="M456" s="214"/>
      <c r="N456" s="214"/>
      <c r="O456" s="214"/>
      <c r="P456" s="214"/>
    </row>
    <row r="457" spans="1:16" ht="38.25" outlineLevel="4">
      <c r="A457" s="220" t="s">
        <v>1016</v>
      </c>
      <c r="B457" s="220" t="s">
        <v>239</v>
      </c>
      <c r="C457" s="220" t="s">
        <v>6</v>
      </c>
      <c r="D457" s="220" t="s">
        <v>1210</v>
      </c>
      <c r="E457" s="221"/>
      <c r="F457" s="222">
        <v>6433.82</v>
      </c>
      <c r="G457" s="222">
        <v>6492.9059999999999</v>
      </c>
      <c r="H457" s="222">
        <v>6492.9059999999999</v>
      </c>
      <c r="I457" s="218"/>
      <c r="J457" s="214"/>
      <c r="K457" s="214"/>
      <c r="L457" s="214"/>
      <c r="M457" s="214"/>
      <c r="N457" s="214"/>
      <c r="O457" s="214"/>
      <c r="P457" s="214"/>
    </row>
    <row r="458" spans="1:16" ht="76.5" outlineLevel="5">
      <c r="A458" s="220" t="s">
        <v>621</v>
      </c>
      <c r="B458" s="220" t="s">
        <v>239</v>
      </c>
      <c r="C458" s="220" t="s">
        <v>6</v>
      </c>
      <c r="D458" s="220" t="s">
        <v>1210</v>
      </c>
      <c r="E458" s="220" t="s">
        <v>312</v>
      </c>
      <c r="F458" s="222">
        <v>5028.6899999999996</v>
      </c>
      <c r="G458" s="222">
        <v>5027.7759999999998</v>
      </c>
      <c r="H458" s="222">
        <v>5027.7759999999998</v>
      </c>
      <c r="I458" s="218"/>
      <c r="J458" s="214"/>
      <c r="K458" s="214"/>
      <c r="L458" s="214"/>
      <c r="M458" s="214"/>
      <c r="N458" s="214"/>
      <c r="O458" s="214"/>
      <c r="P458" s="214"/>
    </row>
    <row r="459" spans="1:16" ht="38.25" outlineLevel="5">
      <c r="A459" s="220" t="s">
        <v>616</v>
      </c>
      <c r="B459" s="220" t="s">
        <v>239</v>
      </c>
      <c r="C459" s="220" t="s">
        <v>6</v>
      </c>
      <c r="D459" s="220" t="s">
        <v>1210</v>
      </c>
      <c r="E459" s="220" t="s">
        <v>313</v>
      </c>
      <c r="F459" s="222">
        <v>1390.9880000000001</v>
      </c>
      <c r="G459" s="222">
        <v>1450.9880000000001</v>
      </c>
      <c r="H459" s="222">
        <v>1450.9880000000001</v>
      </c>
      <c r="I459" s="218"/>
      <c r="J459" s="214"/>
      <c r="K459" s="214"/>
      <c r="L459" s="214"/>
      <c r="M459" s="214"/>
      <c r="N459" s="214"/>
      <c r="O459" s="214"/>
      <c r="P459" s="214"/>
    </row>
    <row r="460" spans="1:16" outlineLevel="5">
      <c r="A460" s="220" t="s">
        <v>623</v>
      </c>
      <c r="B460" s="220" t="s">
        <v>239</v>
      </c>
      <c r="C460" s="220" t="s">
        <v>6</v>
      </c>
      <c r="D460" s="220" t="s">
        <v>1210</v>
      </c>
      <c r="E460" s="220" t="s">
        <v>314</v>
      </c>
      <c r="F460" s="222">
        <v>14.141999999999999</v>
      </c>
      <c r="G460" s="222">
        <v>14.141999999999999</v>
      </c>
      <c r="H460" s="222">
        <v>14.141999999999999</v>
      </c>
      <c r="I460" s="218"/>
      <c r="J460" s="214"/>
      <c r="K460" s="214"/>
      <c r="L460" s="214"/>
      <c r="M460" s="214"/>
      <c r="N460" s="214"/>
      <c r="O460" s="214"/>
      <c r="P460" s="214"/>
    </row>
    <row r="461" spans="1:16" ht="51" outlineLevel="4">
      <c r="A461" s="220" t="s">
        <v>1310</v>
      </c>
      <c r="B461" s="220" t="s">
        <v>239</v>
      </c>
      <c r="C461" s="220" t="s">
        <v>6</v>
      </c>
      <c r="D461" s="220" t="s">
        <v>1311</v>
      </c>
      <c r="E461" s="221"/>
      <c r="F461" s="222">
        <v>213</v>
      </c>
      <c r="G461" s="222">
        <v>0</v>
      </c>
      <c r="H461" s="222">
        <v>0</v>
      </c>
      <c r="I461" s="218"/>
      <c r="J461" s="214"/>
      <c r="K461" s="214"/>
      <c r="L461" s="214"/>
      <c r="M461" s="214"/>
      <c r="N461" s="214"/>
      <c r="O461" s="214"/>
      <c r="P461" s="214"/>
    </row>
    <row r="462" spans="1:16" ht="38.25" outlineLevel="5">
      <c r="A462" s="220" t="s">
        <v>616</v>
      </c>
      <c r="B462" s="220" t="s">
        <v>239</v>
      </c>
      <c r="C462" s="220" t="s">
        <v>6</v>
      </c>
      <c r="D462" s="220" t="s">
        <v>1311</v>
      </c>
      <c r="E462" s="220" t="s">
        <v>313</v>
      </c>
      <c r="F462" s="222">
        <v>213</v>
      </c>
      <c r="G462" s="222">
        <v>0</v>
      </c>
      <c r="H462" s="222">
        <v>0</v>
      </c>
      <c r="I462" s="218"/>
      <c r="J462" s="214"/>
      <c r="K462" s="214"/>
      <c r="L462" s="214"/>
      <c r="M462" s="214"/>
      <c r="N462" s="214"/>
      <c r="O462" s="214"/>
      <c r="P462" s="214"/>
    </row>
    <row r="463" spans="1:16" ht="38.25" outlineLevel="2">
      <c r="A463" s="220" t="s">
        <v>1211</v>
      </c>
      <c r="B463" s="221"/>
      <c r="C463" s="221"/>
      <c r="D463" s="220" t="s">
        <v>1212</v>
      </c>
      <c r="E463" s="221"/>
      <c r="F463" s="222">
        <v>1542.42</v>
      </c>
      <c r="G463" s="222">
        <v>1540.5920000000001</v>
      </c>
      <c r="H463" s="222">
        <v>1540.5920000000001</v>
      </c>
      <c r="I463" s="218"/>
      <c r="J463" s="214"/>
      <c r="K463" s="214"/>
      <c r="L463" s="214"/>
      <c r="M463" s="214"/>
      <c r="N463" s="214"/>
      <c r="O463" s="214"/>
      <c r="P463" s="214"/>
    </row>
    <row r="464" spans="1:16" outlineLevel="3">
      <c r="A464" s="220" t="s">
        <v>703</v>
      </c>
      <c r="B464" s="220" t="s">
        <v>235</v>
      </c>
      <c r="C464" s="220" t="s">
        <v>239</v>
      </c>
      <c r="D464" s="220" t="s">
        <v>1212</v>
      </c>
      <c r="E464" s="221"/>
      <c r="F464" s="222">
        <v>1542.42</v>
      </c>
      <c r="G464" s="222">
        <v>1540.5920000000001</v>
      </c>
      <c r="H464" s="222">
        <v>1540.5920000000001</v>
      </c>
      <c r="I464" s="218"/>
      <c r="J464" s="214"/>
      <c r="K464" s="214"/>
      <c r="L464" s="214"/>
      <c r="M464" s="214"/>
      <c r="N464" s="214"/>
      <c r="O464" s="214"/>
      <c r="P464" s="214"/>
    </row>
    <row r="465" spans="1:16" ht="25.5" outlineLevel="4">
      <c r="A465" s="220" t="s">
        <v>957</v>
      </c>
      <c r="B465" s="220" t="s">
        <v>235</v>
      </c>
      <c r="C465" s="220" t="s">
        <v>239</v>
      </c>
      <c r="D465" s="220" t="s">
        <v>1213</v>
      </c>
      <c r="E465" s="221"/>
      <c r="F465" s="222">
        <v>36.804000000000002</v>
      </c>
      <c r="G465" s="222">
        <v>36.804000000000002</v>
      </c>
      <c r="H465" s="222">
        <v>36.804000000000002</v>
      </c>
      <c r="I465" s="218"/>
      <c r="J465" s="214"/>
      <c r="K465" s="214"/>
      <c r="L465" s="214"/>
      <c r="M465" s="214"/>
      <c r="N465" s="214"/>
      <c r="O465" s="214"/>
      <c r="P465" s="214"/>
    </row>
    <row r="466" spans="1:16" ht="38.25" outlineLevel="5">
      <c r="A466" s="220" t="s">
        <v>612</v>
      </c>
      <c r="B466" s="220" t="s">
        <v>235</v>
      </c>
      <c r="C466" s="220" t="s">
        <v>239</v>
      </c>
      <c r="D466" s="220" t="s">
        <v>1213</v>
      </c>
      <c r="E466" s="220" t="s">
        <v>315</v>
      </c>
      <c r="F466" s="222">
        <v>36.804000000000002</v>
      </c>
      <c r="G466" s="222">
        <v>36.804000000000002</v>
      </c>
      <c r="H466" s="222">
        <v>36.804000000000002</v>
      </c>
      <c r="I466" s="218"/>
      <c r="J466" s="214"/>
      <c r="K466" s="214"/>
      <c r="L466" s="214"/>
      <c r="M466" s="214"/>
      <c r="N466" s="214"/>
      <c r="O466" s="214"/>
      <c r="P466" s="214"/>
    </row>
    <row r="467" spans="1:16" ht="25.5" outlineLevel="4">
      <c r="A467" s="220" t="s">
        <v>1214</v>
      </c>
      <c r="B467" s="220" t="s">
        <v>235</v>
      </c>
      <c r="C467" s="220" t="s">
        <v>239</v>
      </c>
      <c r="D467" s="220" t="s">
        <v>1215</v>
      </c>
      <c r="E467" s="221"/>
      <c r="F467" s="222">
        <v>1505.616</v>
      </c>
      <c r="G467" s="222">
        <v>1503.788</v>
      </c>
      <c r="H467" s="222">
        <v>1503.788</v>
      </c>
      <c r="I467" s="218"/>
      <c r="J467" s="214"/>
      <c r="K467" s="214"/>
      <c r="L467" s="214"/>
      <c r="M467" s="214"/>
      <c r="N467" s="214"/>
      <c r="O467" s="214"/>
      <c r="P467" s="214"/>
    </row>
    <row r="468" spans="1:16" ht="38.25" outlineLevel="5">
      <c r="A468" s="220" t="s">
        <v>612</v>
      </c>
      <c r="B468" s="220" t="s">
        <v>235</v>
      </c>
      <c r="C468" s="220" t="s">
        <v>239</v>
      </c>
      <c r="D468" s="220" t="s">
        <v>1215</v>
      </c>
      <c r="E468" s="220" t="s">
        <v>315</v>
      </c>
      <c r="F468" s="222">
        <v>1505.616</v>
      </c>
      <c r="G468" s="222">
        <v>1503.788</v>
      </c>
      <c r="H468" s="222">
        <v>1503.788</v>
      </c>
      <c r="I468" s="218"/>
      <c r="J468" s="214"/>
      <c r="K468" s="214"/>
      <c r="L468" s="214"/>
      <c r="M468" s="214"/>
      <c r="N468" s="214"/>
      <c r="O468" s="214"/>
      <c r="P468" s="214"/>
    </row>
    <row r="469" spans="1:16" ht="38.25" outlineLevel="2">
      <c r="A469" s="220" t="s">
        <v>1216</v>
      </c>
      <c r="B469" s="221"/>
      <c r="C469" s="221"/>
      <c r="D469" s="220" t="s">
        <v>1217</v>
      </c>
      <c r="E469" s="221"/>
      <c r="F469" s="222">
        <v>220.5</v>
      </c>
      <c r="G469" s="222">
        <v>220.5</v>
      </c>
      <c r="H469" s="222">
        <v>220.5</v>
      </c>
      <c r="I469" s="218"/>
      <c r="J469" s="214"/>
      <c r="K469" s="214"/>
      <c r="L469" s="214"/>
      <c r="M469" s="214"/>
      <c r="N469" s="214"/>
      <c r="O469" s="214"/>
      <c r="P469" s="214"/>
    </row>
    <row r="470" spans="1:16" ht="63.75" outlineLevel="3">
      <c r="A470" s="220" t="s">
        <v>728</v>
      </c>
      <c r="B470" s="220" t="s">
        <v>239</v>
      </c>
      <c r="C470" s="220" t="s">
        <v>234</v>
      </c>
      <c r="D470" s="220" t="s">
        <v>1217</v>
      </c>
      <c r="E470" s="221"/>
      <c r="F470" s="222">
        <v>220.5</v>
      </c>
      <c r="G470" s="222">
        <v>220.5</v>
      </c>
      <c r="H470" s="222">
        <v>220.5</v>
      </c>
      <c r="I470" s="218"/>
      <c r="J470" s="214"/>
      <c r="K470" s="214"/>
      <c r="L470" s="214"/>
      <c r="M470" s="214"/>
      <c r="N470" s="214"/>
      <c r="O470" s="214"/>
      <c r="P470" s="214"/>
    </row>
    <row r="471" spans="1:16" ht="63.75" outlineLevel="4">
      <c r="A471" s="220" t="s">
        <v>1083</v>
      </c>
      <c r="B471" s="220" t="s">
        <v>239</v>
      </c>
      <c r="C471" s="220" t="s">
        <v>234</v>
      </c>
      <c r="D471" s="220" t="s">
        <v>1218</v>
      </c>
      <c r="E471" s="221"/>
      <c r="F471" s="222">
        <v>220.5</v>
      </c>
      <c r="G471" s="222">
        <v>220.5</v>
      </c>
      <c r="H471" s="222">
        <v>220.5</v>
      </c>
      <c r="I471" s="218"/>
      <c r="J471" s="214"/>
      <c r="K471" s="214"/>
      <c r="L471" s="214"/>
      <c r="M471" s="214"/>
      <c r="N471" s="214"/>
      <c r="O471" s="214"/>
      <c r="P471" s="214"/>
    </row>
    <row r="472" spans="1:16" ht="38.25" outlineLevel="5">
      <c r="A472" s="220" t="s">
        <v>616</v>
      </c>
      <c r="B472" s="220" t="s">
        <v>239</v>
      </c>
      <c r="C472" s="220" t="s">
        <v>234</v>
      </c>
      <c r="D472" s="220" t="s">
        <v>1218</v>
      </c>
      <c r="E472" s="220" t="s">
        <v>313</v>
      </c>
      <c r="F472" s="222">
        <v>220.5</v>
      </c>
      <c r="G472" s="222">
        <v>220.5</v>
      </c>
      <c r="H472" s="222">
        <v>220.5</v>
      </c>
      <c r="I472" s="218"/>
      <c r="J472" s="214"/>
      <c r="K472" s="214"/>
      <c r="L472" s="214"/>
      <c r="M472" s="214"/>
      <c r="N472" s="214"/>
      <c r="O472" s="214"/>
      <c r="P472" s="214"/>
    </row>
    <row r="473" spans="1:16" ht="25.5" outlineLevel="1">
      <c r="A473" s="220" t="s">
        <v>734</v>
      </c>
      <c r="B473" s="221"/>
      <c r="C473" s="221"/>
      <c r="D473" s="220" t="s">
        <v>452</v>
      </c>
      <c r="E473" s="221"/>
      <c r="F473" s="222">
        <v>400</v>
      </c>
      <c r="G473" s="222">
        <v>400</v>
      </c>
      <c r="H473" s="222">
        <v>400</v>
      </c>
      <c r="I473" s="218"/>
      <c r="J473" s="214"/>
      <c r="K473" s="214"/>
      <c r="L473" s="214"/>
      <c r="M473" s="214"/>
      <c r="N473" s="214"/>
      <c r="O473" s="214"/>
      <c r="P473" s="214"/>
    </row>
    <row r="474" spans="1:16" ht="63.75" outlineLevel="2">
      <c r="A474" s="220" t="s">
        <v>1354</v>
      </c>
      <c r="B474" s="221"/>
      <c r="C474" s="221"/>
      <c r="D474" s="220" t="s">
        <v>453</v>
      </c>
      <c r="E474" s="221"/>
      <c r="F474" s="222">
        <v>400</v>
      </c>
      <c r="G474" s="222">
        <v>400</v>
      </c>
      <c r="H474" s="222">
        <v>400</v>
      </c>
      <c r="I474" s="218"/>
      <c r="J474" s="214"/>
      <c r="K474" s="214"/>
      <c r="L474" s="214"/>
      <c r="M474" s="214"/>
      <c r="N474" s="214"/>
      <c r="O474" s="214"/>
      <c r="P474" s="214"/>
    </row>
    <row r="475" spans="1:16" outlineLevel="3">
      <c r="A475" s="220" t="s">
        <v>642</v>
      </c>
      <c r="B475" s="220" t="s">
        <v>239</v>
      </c>
      <c r="C475" s="220" t="s">
        <v>6</v>
      </c>
      <c r="D475" s="220" t="s">
        <v>453</v>
      </c>
      <c r="E475" s="221"/>
      <c r="F475" s="222">
        <v>150</v>
      </c>
      <c r="G475" s="222">
        <v>150</v>
      </c>
      <c r="H475" s="222">
        <v>150</v>
      </c>
      <c r="I475" s="218"/>
      <c r="J475" s="214"/>
      <c r="K475" s="214"/>
      <c r="L475" s="214"/>
      <c r="M475" s="214"/>
      <c r="N475" s="214"/>
      <c r="O475" s="214"/>
      <c r="P475" s="214"/>
    </row>
    <row r="476" spans="1:16" ht="38.25" outlineLevel="4">
      <c r="A476" s="220" t="s">
        <v>736</v>
      </c>
      <c r="B476" s="220" t="s">
        <v>239</v>
      </c>
      <c r="C476" s="220" t="s">
        <v>6</v>
      </c>
      <c r="D476" s="220" t="s">
        <v>1219</v>
      </c>
      <c r="E476" s="221"/>
      <c r="F476" s="222">
        <v>150</v>
      </c>
      <c r="G476" s="222">
        <v>150</v>
      </c>
      <c r="H476" s="222">
        <v>150</v>
      </c>
      <c r="I476" s="218"/>
      <c r="J476" s="214"/>
      <c r="K476" s="214"/>
      <c r="L476" s="214"/>
      <c r="M476" s="214"/>
      <c r="N476" s="214"/>
      <c r="O476" s="214"/>
      <c r="P476" s="214"/>
    </row>
    <row r="477" spans="1:16" ht="38.25" outlineLevel="5">
      <c r="A477" s="220" t="s">
        <v>612</v>
      </c>
      <c r="B477" s="220" t="s">
        <v>239</v>
      </c>
      <c r="C477" s="220" t="s">
        <v>6</v>
      </c>
      <c r="D477" s="220" t="s">
        <v>1219</v>
      </c>
      <c r="E477" s="220" t="s">
        <v>315</v>
      </c>
      <c r="F477" s="222">
        <v>135</v>
      </c>
      <c r="G477" s="222">
        <v>100</v>
      </c>
      <c r="H477" s="222">
        <v>100</v>
      </c>
      <c r="I477" s="218"/>
      <c r="J477" s="214"/>
      <c r="K477" s="214"/>
      <c r="L477" s="214"/>
      <c r="M477" s="214"/>
      <c r="N477" s="214"/>
      <c r="O477" s="214"/>
      <c r="P477" s="214"/>
    </row>
    <row r="478" spans="1:16" outlineLevel="5">
      <c r="A478" s="220" t="s">
        <v>623</v>
      </c>
      <c r="B478" s="220" t="s">
        <v>239</v>
      </c>
      <c r="C478" s="220" t="s">
        <v>6</v>
      </c>
      <c r="D478" s="220" t="s">
        <v>1219</v>
      </c>
      <c r="E478" s="220" t="s">
        <v>314</v>
      </c>
      <c r="F478" s="222">
        <v>15</v>
      </c>
      <c r="G478" s="222">
        <v>50</v>
      </c>
      <c r="H478" s="222">
        <v>50</v>
      </c>
      <c r="I478" s="218"/>
      <c r="J478" s="214"/>
      <c r="K478" s="214"/>
      <c r="L478" s="214"/>
      <c r="M478" s="214"/>
      <c r="N478" s="214"/>
      <c r="O478" s="214"/>
      <c r="P478" s="214"/>
    </row>
    <row r="479" spans="1:16" outlineLevel="3">
      <c r="A479" s="220" t="s">
        <v>659</v>
      </c>
      <c r="B479" s="220" t="s">
        <v>242</v>
      </c>
      <c r="C479" s="220" t="s">
        <v>241</v>
      </c>
      <c r="D479" s="220" t="s">
        <v>453</v>
      </c>
      <c r="E479" s="221"/>
      <c r="F479" s="222">
        <v>250</v>
      </c>
      <c r="G479" s="222">
        <v>250</v>
      </c>
      <c r="H479" s="222">
        <v>250</v>
      </c>
      <c r="I479" s="218"/>
      <c r="J479" s="214"/>
      <c r="K479" s="214"/>
      <c r="L479" s="214"/>
      <c r="M479" s="214"/>
      <c r="N479" s="214"/>
      <c r="O479" s="214"/>
      <c r="P479" s="214"/>
    </row>
    <row r="480" spans="1:16" ht="25.5" outlineLevel="4">
      <c r="A480" s="220" t="s">
        <v>735</v>
      </c>
      <c r="B480" s="220" t="s">
        <v>242</v>
      </c>
      <c r="C480" s="220" t="s">
        <v>241</v>
      </c>
      <c r="D480" s="220" t="s">
        <v>1220</v>
      </c>
      <c r="E480" s="221"/>
      <c r="F480" s="222">
        <v>250</v>
      </c>
      <c r="G480" s="222">
        <v>250</v>
      </c>
      <c r="H480" s="222">
        <v>250</v>
      </c>
      <c r="I480" s="218"/>
      <c r="J480" s="214"/>
      <c r="K480" s="214"/>
      <c r="L480" s="214"/>
      <c r="M480" s="214"/>
      <c r="N480" s="214"/>
      <c r="O480" s="214"/>
      <c r="P480" s="214"/>
    </row>
    <row r="481" spans="1:16" ht="38.25" outlineLevel="5">
      <c r="A481" s="220" t="s">
        <v>612</v>
      </c>
      <c r="B481" s="220" t="s">
        <v>242</v>
      </c>
      <c r="C481" s="220" t="s">
        <v>241</v>
      </c>
      <c r="D481" s="220" t="s">
        <v>1220</v>
      </c>
      <c r="E481" s="220" t="s">
        <v>315</v>
      </c>
      <c r="F481" s="222">
        <v>250</v>
      </c>
      <c r="G481" s="222">
        <v>250</v>
      </c>
      <c r="H481" s="222">
        <v>250</v>
      </c>
      <c r="I481" s="218"/>
      <c r="J481" s="214"/>
      <c r="K481" s="214"/>
      <c r="L481" s="214"/>
      <c r="M481" s="214"/>
      <c r="N481" s="214"/>
      <c r="O481" s="214"/>
      <c r="P481" s="214"/>
    </row>
    <row r="482" spans="1:16" ht="25.5">
      <c r="A482" s="220" t="s">
        <v>1371</v>
      </c>
      <c r="B482" s="221"/>
      <c r="C482" s="221"/>
      <c r="D482" s="220" t="s">
        <v>1372</v>
      </c>
      <c r="E482" s="221"/>
      <c r="F482" s="222">
        <v>233.41166999999999</v>
      </c>
      <c r="G482" s="222">
        <v>0</v>
      </c>
      <c r="H482" s="222">
        <v>0</v>
      </c>
      <c r="I482" s="218"/>
      <c r="J482" s="214"/>
      <c r="K482" s="214"/>
      <c r="L482" s="214"/>
      <c r="M482" s="214"/>
      <c r="N482" s="214"/>
      <c r="O482" s="214"/>
      <c r="P482" s="214"/>
    </row>
    <row r="483" spans="1:16" ht="51" outlineLevel="2">
      <c r="A483" s="220" t="s">
        <v>1373</v>
      </c>
      <c r="B483" s="221"/>
      <c r="C483" s="221"/>
      <c r="D483" s="220" t="s">
        <v>1374</v>
      </c>
      <c r="E483" s="221"/>
      <c r="F483" s="222">
        <v>233.41166999999999</v>
      </c>
      <c r="G483" s="222">
        <v>0</v>
      </c>
      <c r="H483" s="222">
        <v>0</v>
      </c>
      <c r="I483" s="218"/>
      <c r="J483" s="214"/>
      <c r="K483" s="214"/>
      <c r="L483" s="214"/>
      <c r="M483" s="214"/>
      <c r="N483" s="214"/>
      <c r="O483" s="214"/>
      <c r="P483" s="214"/>
    </row>
    <row r="484" spans="1:16" ht="25.5" outlineLevel="3">
      <c r="A484" s="220" t="s">
        <v>1375</v>
      </c>
      <c r="B484" s="220" t="s">
        <v>243</v>
      </c>
      <c r="C484" s="220" t="s">
        <v>4</v>
      </c>
      <c r="D484" s="220" t="s">
        <v>1374</v>
      </c>
      <c r="E484" s="221"/>
      <c r="F484" s="222">
        <v>233.41166999999999</v>
      </c>
      <c r="G484" s="222">
        <v>0</v>
      </c>
      <c r="H484" s="222">
        <v>0</v>
      </c>
      <c r="I484" s="218"/>
      <c r="J484" s="214"/>
      <c r="K484" s="214"/>
      <c r="L484" s="214"/>
      <c r="M484" s="214"/>
      <c r="N484" s="214"/>
      <c r="O484" s="214"/>
      <c r="P484" s="214"/>
    </row>
    <row r="485" spans="1:16" ht="38.25" outlineLevel="4">
      <c r="A485" s="220" t="s">
        <v>1376</v>
      </c>
      <c r="B485" s="220" t="s">
        <v>243</v>
      </c>
      <c r="C485" s="220" t="s">
        <v>4</v>
      </c>
      <c r="D485" s="220" t="s">
        <v>1377</v>
      </c>
      <c r="E485" s="221"/>
      <c r="F485" s="222">
        <v>233.41166999999999</v>
      </c>
      <c r="G485" s="222">
        <v>0</v>
      </c>
      <c r="H485" s="222">
        <v>0</v>
      </c>
      <c r="I485" s="218"/>
      <c r="J485" s="214"/>
      <c r="K485" s="214"/>
      <c r="L485" s="214"/>
      <c r="M485" s="214"/>
      <c r="N485" s="214"/>
      <c r="O485" s="214"/>
      <c r="P485" s="214"/>
    </row>
    <row r="486" spans="1:16" ht="38.25" outlineLevel="5">
      <c r="A486" s="220" t="s">
        <v>616</v>
      </c>
      <c r="B486" s="220" t="s">
        <v>243</v>
      </c>
      <c r="C486" s="220" t="s">
        <v>4</v>
      </c>
      <c r="D486" s="220" t="s">
        <v>1377</v>
      </c>
      <c r="E486" s="220" t="s">
        <v>313</v>
      </c>
      <c r="F486" s="222">
        <v>233.41166999999999</v>
      </c>
      <c r="G486" s="222">
        <v>0</v>
      </c>
      <c r="H486" s="222">
        <v>0</v>
      </c>
      <c r="I486" s="218"/>
      <c r="J486" s="214"/>
      <c r="K486" s="214"/>
      <c r="L486" s="214"/>
      <c r="M486" s="214"/>
      <c r="N486" s="214"/>
      <c r="O486" s="214"/>
      <c r="P486" s="214"/>
    </row>
    <row r="487" spans="1:16" ht="51">
      <c r="A487" s="220" t="s">
        <v>1312</v>
      </c>
      <c r="B487" s="221"/>
      <c r="C487" s="221"/>
      <c r="D487" s="220" t="s">
        <v>1313</v>
      </c>
      <c r="E487" s="221"/>
      <c r="F487" s="222">
        <v>3158</v>
      </c>
      <c r="G487" s="222">
        <v>0</v>
      </c>
      <c r="H487" s="222">
        <v>0</v>
      </c>
      <c r="I487" s="218"/>
      <c r="J487" s="214"/>
      <c r="K487" s="214"/>
      <c r="L487" s="214"/>
      <c r="M487" s="214"/>
      <c r="N487" s="214"/>
      <c r="O487" s="214"/>
      <c r="P487" s="214"/>
    </row>
    <row r="488" spans="1:16" ht="25.5" outlineLevel="2">
      <c r="A488" s="220" t="s">
        <v>1314</v>
      </c>
      <c r="B488" s="221"/>
      <c r="C488" s="221"/>
      <c r="D488" s="220" t="s">
        <v>1315</v>
      </c>
      <c r="E488" s="221"/>
      <c r="F488" s="222">
        <v>3158</v>
      </c>
      <c r="G488" s="222">
        <v>0</v>
      </c>
      <c r="H488" s="222">
        <v>0</v>
      </c>
      <c r="I488" s="218"/>
      <c r="J488" s="214"/>
      <c r="K488" s="214"/>
      <c r="L488" s="214"/>
      <c r="M488" s="214"/>
      <c r="N488" s="214"/>
      <c r="O488" s="214"/>
      <c r="P488" s="214"/>
    </row>
    <row r="489" spans="1:16" outlineLevel="3">
      <c r="A489" s="220" t="s">
        <v>710</v>
      </c>
      <c r="B489" s="220" t="s">
        <v>4</v>
      </c>
      <c r="C489" s="220" t="s">
        <v>241</v>
      </c>
      <c r="D489" s="220" t="s">
        <v>1315</v>
      </c>
      <c r="E489" s="221"/>
      <c r="F489" s="222">
        <v>3158</v>
      </c>
      <c r="G489" s="222">
        <v>0</v>
      </c>
      <c r="H489" s="222">
        <v>0</v>
      </c>
      <c r="I489" s="218"/>
      <c r="J489" s="214"/>
      <c r="K489" s="214"/>
      <c r="L489" s="214"/>
      <c r="M489" s="214"/>
      <c r="N489" s="214"/>
      <c r="O489" s="214"/>
      <c r="P489" s="214"/>
    </row>
    <row r="490" spans="1:16" ht="25.5" outlineLevel="4">
      <c r="A490" s="220" t="s">
        <v>1316</v>
      </c>
      <c r="B490" s="220" t="s">
        <v>4</v>
      </c>
      <c r="C490" s="220" t="s">
        <v>241</v>
      </c>
      <c r="D490" s="220" t="s">
        <v>1317</v>
      </c>
      <c r="E490" s="221"/>
      <c r="F490" s="222">
        <v>3158</v>
      </c>
      <c r="G490" s="222">
        <v>0</v>
      </c>
      <c r="H490" s="222">
        <v>0</v>
      </c>
      <c r="I490" s="218"/>
      <c r="J490" s="214"/>
      <c r="K490" s="214"/>
      <c r="L490" s="214"/>
      <c r="M490" s="214"/>
      <c r="N490" s="214"/>
      <c r="O490" s="214"/>
      <c r="P490" s="214"/>
    </row>
    <row r="491" spans="1:16" ht="38.25" outlineLevel="5">
      <c r="A491" s="220" t="s">
        <v>616</v>
      </c>
      <c r="B491" s="220" t="s">
        <v>4</v>
      </c>
      <c r="C491" s="220" t="s">
        <v>241</v>
      </c>
      <c r="D491" s="220" t="s">
        <v>1317</v>
      </c>
      <c r="E491" s="220" t="s">
        <v>313</v>
      </c>
      <c r="F491" s="222">
        <v>3158</v>
      </c>
      <c r="G491" s="222">
        <v>0</v>
      </c>
      <c r="H491" s="222">
        <v>0</v>
      </c>
      <c r="I491" s="218"/>
      <c r="J491" s="214"/>
      <c r="K491" s="214"/>
      <c r="L491" s="214"/>
      <c r="M491" s="214"/>
      <c r="N491" s="214"/>
      <c r="O491" s="214"/>
      <c r="P491" s="214"/>
    </row>
    <row r="492" spans="1:16" ht="38.25">
      <c r="A492" s="220" t="s">
        <v>472</v>
      </c>
      <c r="B492" s="221"/>
      <c r="C492" s="221"/>
      <c r="D492" s="220" t="s">
        <v>454</v>
      </c>
      <c r="E492" s="221"/>
      <c r="F492" s="222">
        <v>7847.59</v>
      </c>
      <c r="G492" s="222">
        <v>7827.59</v>
      </c>
      <c r="H492" s="222">
        <v>7827.59</v>
      </c>
      <c r="I492" s="218"/>
      <c r="J492" s="214"/>
      <c r="K492" s="214"/>
      <c r="L492" s="214"/>
      <c r="M492" s="214"/>
      <c r="N492" s="214"/>
      <c r="O492" s="214"/>
      <c r="P492" s="214"/>
    </row>
    <row r="493" spans="1:16" outlineLevel="1">
      <c r="A493" s="220" t="s">
        <v>737</v>
      </c>
      <c r="B493" s="221"/>
      <c r="C493" s="221"/>
      <c r="D493" s="220" t="s">
        <v>455</v>
      </c>
      <c r="E493" s="221"/>
      <c r="F493" s="222">
        <v>7778.64</v>
      </c>
      <c r="G493" s="222">
        <v>7758.64</v>
      </c>
      <c r="H493" s="222">
        <v>7758.64</v>
      </c>
      <c r="I493" s="218"/>
      <c r="J493" s="214"/>
      <c r="K493" s="214"/>
      <c r="L493" s="214"/>
      <c r="M493" s="214"/>
      <c r="N493" s="214"/>
      <c r="O493" s="214"/>
      <c r="P493" s="214"/>
    </row>
    <row r="494" spans="1:16" ht="51" outlineLevel="3">
      <c r="A494" s="220" t="s">
        <v>738</v>
      </c>
      <c r="B494" s="220" t="s">
        <v>239</v>
      </c>
      <c r="C494" s="220" t="s">
        <v>241</v>
      </c>
      <c r="D494" s="220" t="s">
        <v>455</v>
      </c>
      <c r="E494" s="221"/>
      <c r="F494" s="222">
        <v>7778.64</v>
      </c>
      <c r="G494" s="222">
        <v>7758.64</v>
      </c>
      <c r="H494" s="222">
        <v>7758.64</v>
      </c>
      <c r="I494" s="218"/>
      <c r="J494" s="214"/>
      <c r="K494" s="214"/>
      <c r="L494" s="214"/>
      <c r="M494" s="214"/>
      <c r="N494" s="214"/>
      <c r="O494" s="214"/>
      <c r="P494" s="214"/>
    </row>
    <row r="495" spans="1:16" ht="63.75" outlineLevel="4">
      <c r="A495" s="220" t="s">
        <v>1083</v>
      </c>
      <c r="B495" s="220" t="s">
        <v>239</v>
      </c>
      <c r="C495" s="220" t="s">
        <v>241</v>
      </c>
      <c r="D495" s="220" t="s">
        <v>1221</v>
      </c>
      <c r="E495" s="221"/>
      <c r="F495" s="222">
        <v>25</v>
      </c>
      <c r="G495" s="222">
        <v>25</v>
      </c>
      <c r="H495" s="222">
        <v>25</v>
      </c>
      <c r="I495" s="218"/>
      <c r="J495" s="214"/>
      <c r="K495" s="214"/>
      <c r="L495" s="214"/>
      <c r="M495" s="214"/>
      <c r="N495" s="214"/>
      <c r="O495" s="214"/>
      <c r="P495" s="214"/>
    </row>
    <row r="496" spans="1:16" ht="38.25" outlineLevel="5">
      <c r="A496" s="220" t="s">
        <v>616</v>
      </c>
      <c r="B496" s="220" t="s">
        <v>239</v>
      </c>
      <c r="C496" s="220" t="s">
        <v>241</v>
      </c>
      <c r="D496" s="220" t="s">
        <v>1221</v>
      </c>
      <c r="E496" s="220" t="s">
        <v>313</v>
      </c>
      <c r="F496" s="222">
        <v>25</v>
      </c>
      <c r="G496" s="222">
        <v>25</v>
      </c>
      <c r="H496" s="222">
        <v>25</v>
      </c>
      <c r="I496" s="218"/>
      <c r="J496" s="214"/>
      <c r="K496" s="214"/>
      <c r="L496" s="214"/>
      <c r="M496" s="214"/>
      <c r="N496" s="214"/>
      <c r="O496" s="214"/>
      <c r="P496" s="214"/>
    </row>
    <row r="497" spans="1:16" ht="25.5" outlineLevel="4">
      <c r="A497" s="220" t="s">
        <v>739</v>
      </c>
      <c r="B497" s="220" t="s">
        <v>239</v>
      </c>
      <c r="C497" s="220" t="s">
        <v>241</v>
      </c>
      <c r="D497" s="220" t="s">
        <v>456</v>
      </c>
      <c r="E497" s="221"/>
      <c r="F497" s="222">
        <v>1137.1780000000001</v>
      </c>
      <c r="G497" s="222">
        <v>1137.1780000000001</v>
      </c>
      <c r="H497" s="222">
        <v>1137.1780000000001</v>
      </c>
      <c r="I497" s="218"/>
      <c r="J497" s="214"/>
      <c r="K497" s="214"/>
      <c r="L497" s="214"/>
      <c r="M497" s="214"/>
      <c r="N497" s="214"/>
      <c r="O497" s="214"/>
      <c r="P497" s="214"/>
    </row>
    <row r="498" spans="1:16" ht="76.5" outlineLevel="5">
      <c r="A498" s="220" t="s">
        <v>621</v>
      </c>
      <c r="B498" s="220" t="s">
        <v>239</v>
      </c>
      <c r="C498" s="220" t="s">
        <v>241</v>
      </c>
      <c r="D498" s="220" t="s">
        <v>456</v>
      </c>
      <c r="E498" s="220" t="s">
        <v>312</v>
      </c>
      <c r="F498" s="222">
        <v>1137.1780000000001</v>
      </c>
      <c r="G498" s="222">
        <v>1137.1780000000001</v>
      </c>
      <c r="H498" s="222">
        <v>1137.1780000000001</v>
      </c>
      <c r="I498" s="218"/>
      <c r="J498" s="214"/>
      <c r="K498" s="214"/>
      <c r="L498" s="214"/>
      <c r="M498" s="214"/>
      <c r="N498" s="214"/>
      <c r="O498" s="214"/>
      <c r="P498" s="214"/>
    </row>
    <row r="499" spans="1:16" ht="25.5" outlineLevel="4">
      <c r="A499" s="220" t="s">
        <v>740</v>
      </c>
      <c r="B499" s="220" t="s">
        <v>239</v>
      </c>
      <c r="C499" s="220" t="s">
        <v>241</v>
      </c>
      <c r="D499" s="220" t="s">
        <v>457</v>
      </c>
      <c r="E499" s="221"/>
      <c r="F499" s="222">
        <v>5736.4560000000001</v>
      </c>
      <c r="G499" s="222">
        <v>5716.4560000000001</v>
      </c>
      <c r="H499" s="222">
        <v>5716.4560000000001</v>
      </c>
      <c r="I499" s="218"/>
      <c r="J499" s="214"/>
      <c r="K499" s="214"/>
      <c r="L499" s="214"/>
      <c r="M499" s="214"/>
      <c r="N499" s="214"/>
      <c r="O499" s="214"/>
      <c r="P499" s="214"/>
    </row>
    <row r="500" spans="1:16" ht="76.5" outlineLevel="5">
      <c r="A500" s="220" t="s">
        <v>621</v>
      </c>
      <c r="B500" s="220" t="s">
        <v>239</v>
      </c>
      <c r="C500" s="220" t="s">
        <v>241</v>
      </c>
      <c r="D500" s="220" t="s">
        <v>457</v>
      </c>
      <c r="E500" s="220" t="s">
        <v>312</v>
      </c>
      <c r="F500" s="222">
        <v>3503.232</v>
      </c>
      <c r="G500" s="222">
        <v>3503.232</v>
      </c>
      <c r="H500" s="222">
        <v>3503.232</v>
      </c>
      <c r="I500" s="218"/>
      <c r="J500" s="214"/>
      <c r="K500" s="214"/>
      <c r="L500" s="214"/>
      <c r="M500" s="214"/>
      <c r="N500" s="214"/>
      <c r="O500" s="214"/>
      <c r="P500" s="214"/>
    </row>
    <row r="501" spans="1:16" ht="38.25" outlineLevel="5">
      <c r="A501" s="220" t="s">
        <v>616</v>
      </c>
      <c r="B501" s="220" t="s">
        <v>239</v>
      </c>
      <c r="C501" s="220" t="s">
        <v>241</v>
      </c>
      <c r="D501" s="220" t="s">
        <v>457</v>
      </c>
      <c r="E501" s="220" t="s">
        <v>313</v>
      </c>
      <c r="F501" s="222">
        <v>2138.924</v>
      </c>
      <c r="G501" s="222">
        <v>2118.924</v>
      </c>
      <c r="H501" s="222">
        <v>2118.924</v>
      </c>
      <c r="I501" s="218"/>
      <c r="J501" s="214"/>
      <c r="K501" s="214"/>
      <c r="L501" s="214"/>
      <c r="M501" s="214"/>
      <c r="N501" s="214"/>
      <c r="O501" s="214"/>
      <c r="P501" s="214"/>
    </row>
    <row r="502" spans="1:16" outlineLevel="5">
      <c r="A502" s="220" t="s">
        <v>623</v>
      </c>
      <c r="B502" s="220" t="s">
        <v>239</v>
      </c>
      <c r="C502" s="220" t="s">
        <v>241</v>
      </c>
      <c r="D502" s="220" t="s">
        <v>457</v>
      </c>
      <c r="E502" s="220" t="s">
        <v>314</v>
      </c>
      <c r="F502" s="222">
        <v>94.3</v>
      </c>
      <c r="G502" s="222">
        <v>94.3</v>
      </c>
      <c r="H502" s="222">
        <v>94.3</v>
      </c>
      <c r="I502" s="218"/>
      <c r="J502" s="214"/>
      <c r="K502" s="214"/>
      <c r="L502" s="214"/>
      <c r="M502" s="214"/>
      <c r="N502" s="214"/>
      <c r="O502" s="214"/>
      <c r="P502" s="214"/>
    </row>
    <row r="503" spans="1:16" ht="25.5" outlineLevel="4">
      <c r="A503" s="220" t="s">
        <v>741</v>
      </c>
      <c r="B503" s="220" t="s">
        <v>239</v>
      </c>
      <c r="C503" s="220" t="s">
        <v>241</v>
      </c>
      <c r="D503" s="220" t="s">
        <v>458</v>
      </c>
      <c r="E503" s="221"/>
      <c r="F503" s="222">
        <v>880.00599999999997</v>
      </c>
      <c r="G503" s="222">
        <v>880.00599999999997</v>
      </c>
      <c r="H503" s="222">
        <v>880.00599999999997</v>
      </c>
      <c r="I503" s="218"/>
      <c r="J503" s="214"/>
      <c r="K503" s="214"/>
      <c r="L503" s="214"/>
      <c r="M503" s="214"/>
      <c r="N503" s="214"/>
      <c r="O503" s="214"/>
      <c r="P503" s="214"/>
    </row>
    <row r="504" spans="1:16" ht="76.5" outlineLevel="5">
      <c r="A504" s="220" t="s">
        <v>621</v>
      </c>
      <c r="B504" s="220" t="s">
        <v>239</v>
      </c>
      <c r="C504" s="220" t="s">
        <v>241</v>
      </c>
      <c r="D504" s="220" t="s">
        <v>458</v>
      </c>
      <c r="E504" s="220" t="s">
        <v>312</v>
      </c>
      <c r="F504" s="222">
        <v>880.00599999999997</v>
      </c>
      <c r="G504" s="222">
        <v>880.00599999999997</v>
      </c>
      <c r="H504" s="222">
        <v>880.00599999999997</v>
      </c>
      <c r="I504" s="218"/>
      <c r="J504" s="214"/>
      <c r="K504" s="214"/>
      <c r="L504" s="214"/>
      <c r="M504" s="214"/>
      <c r="N504" s="214"/>
      <c r="O504" s="214"/>
      <c r="P504" s="214"/>
    </row>
    <row r="505" spans="1:16" outlineLevel="1">
      <c r="A505" s="220" t="s">
        <v>742</v>
      </c>
      <c r="B505" s="221"/>
      <c r="C505" s="221"/>
      <c r="D505" s="220" t="s">
        <v>459</v>
      </c>
      <c r="E505" s="221"/>
      <c r="F505" s="222">
        <v>68.95</v>
      </c>
      <c r="G505" s="222">
        <v>68.95</v>
      </c>
      <c r="H505" s="222">
        <v>68.95</v>
      </c>
      <c r="I505" s="218"/>
      <c r="J505" s="214"/>
      <c r="K505" s="214"/>
      <c r="L505" s="214"/>
      <c r="M505" s="214"/>
      <c r="N505" s="214"/>
      <c r="O505" s="214"/>
      <c r="P505" s="214"/>
    </row>
    <row r="506" spans="1:16" ht="51" outlineLevel="3">
      <c r="A506" s="220" t="s">
        <v>738</v>
      </c>
      <c r="B506" s="220" t="s">
        <v>239</v>
      </c>
      <c r="C506" s="220" t="s">
        <v>241</v>
      </c>
      <c r="D506" s="220" t="s">
        <v>459</v>
      </c>
      <c r="E506" s="221"/>
      <c r="F506" s="222">
        <v>68.95</v>
      </c>
      <c r="G506" s="222">
        <v>68.95</v>
      </c>
      <c r="H506" s="222">
        <v>68.95</v>
      </c>
      <c r="I506" s="218"/>
      <c r="J506" s="214"/>
      <c r="K506" s="214"/>
      <c r="L506" s="214"/>
      <c r="M506" s="214"/>
      <c r="N506" s="214"/>
      <c r="O506" s="214"/>
      <c r="P506" s="214"/>
    </row>
    <row r="507" spans="1:16" ht="25.5" outlineLevel="4">
      <c r="A507" s="220" t="s">
        <v>743</v>
      </c>
      <c r="B507" s="220" t="s">
        <v>239</v>
      </c>
      <c r="C507" s="220" t="s">
        <v>241</v>
      </c>
      <c r="D507" s="220" t="s">
        <v>460</v>
      </c>
      <c r="E507" s="221"/>
      <c r="F507" s="222">
        <v>68.95</v>
      </c>
      <c r="G507" s="222">
        <v>68.95</v>
      </c>
      <c r="H507" s="222">
        <v>68.95</v>
      </c>
      <c r="I507" s="218"/>
      <c r="J507" s="214"/>
      <c r="K507" s="214"/>
      <c r="L507" s="214"/>
      <c r="M507" s="214"/>
      <c r="N507" s="214"/>
      <c r="O507" s="214"/>
      <c r="P507" s="214"/>
    </row>
    <row r="508" spans="1:16" ht="38.25" outlineLevel="5">
      <c r="A508" s="220" t="s">
        <v>616</v>
      </c>
      <c r="B508" s="220" t="s">
        <v>239</v>
      </c>
      <c r="C508" s="220" t="s">
        <v>241</v>
      </c>
      <c r="D508" s="220" t="s">
        <v>460</v>
      </c>
      <c r="E508" s="220" t="s">
        <v>313</v>
      </c>
      <c r="F508" s="222">
        <v>68.95</v>
      </c>
      <c r="G508" s="222">
        <v>68.95</v>
      </c>
      <c r="H508" s="222">
        <v>68.95</v>
      </c>
      <c r="I508" s="218"/>
      <c r="J508" s="214"/>
      <c r="K508" s="214"/>
      <c r="L508" s="214"/>
      <c r="M508" s="214"/>
      <c r="N508" s="214"/>
      <c r="O508" s="214"/>
      <c r="P508" s="214"/>
    </row>
    <row r="509" spans="1:16" ht="51">
      <c r="A509" s="220" t="s">
        <v>473</v>
      </c>
      <c r="B509" s="221"/>
      <c r="C509" s="221"/>
      <c r="D509" s="220" t="s">
        <v>461</v>
      </c>
      <c r="E509" s="221"/>
      <c r="F509" s="222">
        <v>2025.048</v>
      </c>
      <c r="G509" s="222">
        <v>2020.048</v>
      </c>
      <c r="H509" s="222">
        <v>2020.048</v>
      </c>
      <c r="I509" s="218"/>
      <c r="J509" s="214"/>
      <c r="K509" s="214"/>
      <c r="L509" s="214"/>
      <c r="M509" s="214"/>
      <c r="N509" s="214"/>
      <c r="O509" s="214"/>
      <c r="P509" s="214"/>
    </row>
    <row r="510" spans="1:16" ht="25.5" outlineLevel="1">
      <c r="A510" s="220" t="s">
        <v>744</v>
      </c>
      <c r="B510" s="221"/>
      <c r="C510" s="221"/>
      <c r="D510" s="220" t="s">
        <v>462</v>
      </c>
      <c r="E510" s="221"/>
      <c r="F510" s="222">
        <v>2025.048</v>
      </c>
      <c r="G510" s="222">
        <v>2020.048</v>
      </c>
      <c r="H510" s="222">
        <v>2020.048</v>
      </c>
      <c r="I510" s="218"/>
      <c r="J510" s="214"/>
      <c r="K510" s="214"/>
      <c r="L510" s="214"/>
      <c r="M510" s="214"/>
      <c r="N510" s="214"/>
      <c r="O510" s="214"/>
      <c r="P510" s="214"/>
    </row>
    <row r="511" spans="1:16" ht="38.25" outlineLevel="3">
      <c r="A511" s="220" t="s">
        <v>723</v>
      </c>
      <c r="B511" s="220" t="s">
        <v>239</v>
      </c>
      <c r="C511" s="220" t="s">
        <v>243</v>
      </c>
      <c r="D511" s="220" t="s">
        <v>462</v>
      </c>
      <c r="E511" s="221"/>
      <c r="F511" s="222">
        <v>2025.048</v>
      </c>
      <c r="G511" s="222">
        <v>2020.048</v>
      </c>
      <c r="H511" s="222">
        <v>2020.048</v>
      </c>
      <c r="I511" s="218"/>
      <c r="J511" s="214"/>
      <c r="K511" s="214"/>
      <c r="L511" s="214"/>
      <c r="M511" s="214"/>
      <c r="N511" s="214"/>
      <c r="O511" s="214"/>
      <c r="P511" s="214"/>
    </row>
    <row r="512" spans="1:16" ht="63.75" outlineLevel="4">
      <c r="A512" s="220" t="s">
        <v>1083</v>
      </c>
      <c r="B512" s="220" t="s">
        <v>239</v>
      </c>
      <c r="C512" s="220" t="s">
        <v>243</v>
      </c>
      <c r="D512" s="220" t="s">
        <v>1222</v>
      </c>
      <c r="E512" s="221"/>
      <c r="F512" s="222">
        <v>12</v>
      </c>
      <c r="G512" s="222">
        <v>12</v>
      </c>
      <c r="H512" s="222">
        <v>12</v>
      </c>
      <c r="I512" s="218"/>
      <c r="J512" s="214"/>
      <c r="K512" s="214"/>
      <c r="L512" s="214"/>
      <c r="M512" s="214"/>
      <c r="N512" s="214"/>
      <c r="O512" s="214"/>
      <c r="P512" s="214"/>
    </row>
    <row r="513" spans="1:16" ht="38.25" outlineLevel="5">
      <c r="A513" s="220" t="s">
        <v>616</v>
      </c>
      <c r="B513" s="220" t="s">
        <v>239</v>
      </c>
      <c r="C513" s="220" t="s">
        <v>243</v>
      </c>
      <c r="D513" s="220" t="s">
        <v>1222</v>
      </c>
      <c r="E513" s="220" t="s">
        <v>313</v>
      </c>
      <c r="F513" s="222">
        <v>12</v>
      </c>
      <c r="G513" s="222">
        <v>12</v>
      </c>
      <c r="H513" s="222">
        <v>12</v>
      </c>
      <c r="I513" s="218"/>
      <c r="J513" s="214"/>
      <c r="K513" s="214"/>
      <c r="L513" s="214"/>
      <c r="M513" s="214"/>
      <c r="N513" s="214"/>
      <c r="O513" s="214"/>
      <c r="P513" s="214"/>
    </row>
    <row r="514" spans="1:16" ht="38.25" outlineLevel="4">
      <c r="A514" s="220" t="s">
        <v>745</v>
      </c>
      <c r="B514" s="220" t="s">
        <v>239</v>
      </c>
      <c r="C514" s="220" t="s">
        <v>243</v>
      </c>
      <c r="D514" s="220" t="s">
        <v>463</v>
      </c>
      <c r="E514" s="221"/>
      <c r="F514" s="222">
        <v>699.51800000000003</v>
      </c>
      <c r="G514" s="222">
        <v>699.51800000000003</v>
      </c>
      <c r="H514" s="222">
        <v>699.51800000000003</v>
      </c>
      <c r="I514" s="218"/>
      <c r="J514" s="214"/>
      <c r="K514" s="214"/>
      <c r="L514" s="214"/>
      <c r="M514" s="214"/>
      <c r="N514" s="214"/>
      <c r="O514" s="214"/>
      <c r="P514" s="214"/>
    </row>
    <row r="515" spans="1:16" ht="76.5" outlineLevel="5">
      <c r="A515" s="220" t="s">
        <v>621</v>
      </c>
      <c r="B515" s="220" t="s">
        <v>239</v>
      </c>
      <c r="C515" s="220" t="s">
        <v>243</v>
      </c>
      <c r="D515" s="220" t="s">
        <v>463</v>
      </c>
      <c r="E515" s="220" t="s">
        <v>312</v>
      </c>
      <c r="F515" s="222">
        <v>699.51800000000003</v>
      </c>
      <c r="G515" s="222">
        <v>699.51800000000003</v>
      </c>
      <c r="H515" s="222">
        <v>699.51800000000003</v>
      </c>
      <c r="I515" s="218"/>
      <c r="J515" s="214"/>
      <c r="K515" s="214"/>
      <c r="L515" s="214"/>
      <c r="M515" s="214"/>
      <c r="N515" s="214"/>
      <c r="O515" s="214"/>
      <c r="P515" s="214"/>
    </row>
    <row r="516" spans="1:16" ht="38.25" outlineLevel="4">
      <c r="A516" s="220" t="s">
        <v>746</v>
      </c>
      <c r="B516" s="220" t="s">
        <v>239</v>
      </c>
      <c r="C516" s="220" t="s">
        <v>243</v>
      </c>
      <c r="D516" s="220" t="s">
        <v>464</v>
      </c>
      <c r="E516" s="221"/>
      <c r="F516" s="222">
        <v>1313.53</v>
      </c>
      <c r="G516" s="222">
        <v>1308.53</v>
      </c>
      <c r="H516" s="222">
        <v>1308.53</v>
      </c>
      <c r="I516" s="218"/>
      <c r="J516" s="214"/>
      <c r="K516" s="214"/>
      <c r="L516" s="214"/>
      <c r="M516" s="214"/>
      <c r="N516" s="214"/>
      <c r="O516" s="214"/>
      <c r="P516" s="214"/>
    </row>
    <row r="517" spans="1:16" ht="76.5" outlineLevel="5">
      <c r="A517" s="220" t="s">
        <v>621</v>
      </c>
      <c r="B517" s="220" t="s">
        <v>239</v>
      </c>
      <c r="C517" s="220" t="s">
        <v>243</v>
      </c>
      <c r="D517" s="220" t="s">
        <v>464</v>
      </c>
      <c r="E517" s="220" t="s">
        <v>312</v>
      </c>
      <c r="F517" s="222">
        <v>1106.04</v>
      </c>
      <c r="G517" s="222">
        <v>1106.04</v>
      </c>
      <c r="H517" s="222">
        <v>1106.04</v>
      </c>
      <c r="I517" s="218"/>
      <c r="J517" s="214"/>
      <c r="K517" s="214"/>
      <c r="L517" s="214"/>
      <c r="M517" s="214"/>
      <c r="N517" s="214"/>
      <c r="O517" s="214"/>
      <c r="P517" s="214"/>
    </row>
    <row r="518" spans="1:16" ht="38.25" outlineLevel="5">
      <c r="A518" s="220" t="s">
        <v>616</v>
      </c>
      <c r="B518" s="220" t="s">
        <v>239</v>
      </c>
      <c r="C518" s="220" t="s">
        <v>243</v>
      </c>
      <c r="D518" s="220" t="s">
        <v>464</v>
      </c>
      <c r="E518" s="220" t="s">
        <v>313</v>
      </c>
      <c r="F518" s="222">
        <v>196.49</v>
      </c>
      <c r="G518" s="222">
        <v>191.49</v>
      </c>
      <c r="H518" s="222">
        <v>191.49</v>
      </c>
      <c r="I518" s="218"/>
      <c r="J518" s="214"/>
      <c r="K518" s="214"/>
      <c r="L518" s="214"/>
      <c r="M518" s="214"/>
      <c r="N518" s="214"/>
      <c r="O518" s="214"/>
      <c r="P518" s="214"/>
    </row>
    <row r="519" spans="1:16" outlineLevel="5">
      <c r="A519" s="220" t="s">
        <v>623</v>
      </c>
      <c r="B519" s="220" t="s">
        <v>239</v>
      </c>
      <c r="C519" s="220" t="s">
        <v>243</v>
      </c>
      <c r="D519" s="220" t="s">
        <v>464</v>
      </c>
      <c r="E519" s="220" t="s">
        <v>314</v>
      </c>
      <c r="F519" s="222">
        <v>11</v>
      </c>
      <c r="G519" s="222">
        <v>11</v>
      </c>
      <c r="H519" s="222">
        <v>11</v>
      </c>
      <c r="I519" s="218"/>
      <c r="J519" s="214"/>
      <c r="K519" s="214"/>
      <c r="L519" s="214"/>
      <c r="M519" s="214"/>
      <c r="N519" s="214"/>
      <c r="O519" s="214"/>
      <c r="P519" s="214"/>
    </row>
    <row r="520" spans="1:16" ht="51">
      <c r="A520" s="220" t="s">
        <v>474</v>
      </c>
      <c r="B520" s="221"/>
      <c r="C520" s="221"/>
      <c r="D520" s="220" t="s">
        <v>465</v>
      </c>
      <c r="E520" s="221"/>
      <c r="F520" s="222">
        <v>3000</v>
      </c>
      <c r="G520" s="222">
        <v>2114.8000000000002</v>
      </c>
      <c r="H520" s="222">
        <v>2114.8000000000002</v>
      </c>
      <c r="I520" s="218"/>
      <c r="J520" s="214"/>
      <c r="K520" s="214"/>
      <c r="L520" s="214"/>
      <c r="M520" s="214"/>
      <c r="N520" s="214"/>
      <c r="O520" s="214"/>
      <c r="P520" s="214"/>
    </row>
    <row r="521" spans="1:16" ht="25.5" outlineLevel="1">
      <c r="A521" s="220" t="s">
        <v>747</v>
      </c>
      <c r="B521" s="221"/>
      <c r="C521" s="221"/>
      <c r="D521" s="220" t="s">
        <v>466</v>
      </c>
      <c r="E521" s="221"/>
      <c r="F521" s="222">
        <v>3000</v>
      </c>
      <c r="G521" s="222">
        <v>2114.8000000000002</v>
      </c>
      <c r="H521" s="222">
        <v>2114.8000000000002</v>
      </c>
      <c r="I521" s="218"/>
      <c r="J521" s="214"/>
      <c r="K521" s="214"/>
      <c r="L521" s="214"/>
      <c r="M521" s="214"/>
      <c r="N521" s="214"/>
      <c r="O521" s="214"/>
      <c r="P521" s="214"/>
    </row>
    <row r="522" spans="1:16" outlineLevel="3">
      <c r="A522" s="220" t="s">
        <v>748</v>
      </c>
      <c r="B522" s="220" t="s">
        <v>239</v>
      </c>
      <c r="C522" s="220" t="s">
        <v>5</v>
      </c>
      <c r="D522" s="220" t="s">
        <v>466</v>
      </c>
      <c r="E522" s="221"/>
      <c r="F522" s="222">
        <v>3000</v>
      </c>
      <c r="G522" s="222">
        <v>2114.8000000000002</v>
      </c>
      <c r="H522" s="222">
        <v>2114.8000000000002</v>
      </c>
      <c r="I522" s="218"/>
      <c r="J522" s="214"/>
      <c r="K522" s="214"/>
      <c r="L522" s="214"/>
      <c r="M522" s="214"/>
      <c r="N522" s="214"/>
      <c r="O522" s="214"/>
      <c r="P522" s="214"/>
    </row>
    <row r="523" spans="1:16" ht="25.5" outlineLevel="4">
      <c r="A523" s="220" t="s">
        <v>555</v>
      </c>
      <c r="B523" s="220" t="s">
        <v>239</v>
      </c>
      <c r="C523" s="220" t="s">
        <v>5</v>
      </c>
      <c r="D523" s="220" t="s">
        <v>467</v>
      </c>
      <c r="E523" s="221"/>
      <c r="F523" s="222">
        <v>3000</v>
      </c>
      <c r="G523" s="222">
        <v>2114.8000000000002</v>
      </c>
      <c r="H523" s="222">
        <v>2114.8000000000002</v>
      </c>
      <c r="I523" s="218"/>
      <c r="J523" s="214"/>
      <c r="K523" s="214"/>
      <c r="L523" s="214"/>
      <c r="M523" s="214"/>
      <c r="N523" s="214"/>
      <c r="O523" s="214"/>
      <c r="P523" s="214"/>
    </row>
    <row r="524" spans="1:16" outlineLevel="5">
      <c r="A524" s="220" t="s">
        <v>623</v>
      </c>
      <c r="B524" s="220" t="s">
        <v>239</v>
      </c>
      <c r="C524" s="220" t="s">
        <v>5</v>
      </c>
      <c r="D524" s="220" t="s">
        <v>467</v>
      </c>
      <c r="E524" s="220" t="s">
        <v>314</v>
      </c>
      <c r="F524" s="222">
        <v>3000</v>
      </c>
      <c r="G524" s="222">
        <v>2114.8000000000002</v>
      </c>
      <c r="H524" s="222">
        <v>2114.8000000000002</v>
      </c>
      <c r="I524" s="218"/>
      <c r="J524" s="214"/>
      <c r="K524" s="214"/>
      <c r="L524" s="214"/>
      <c r="M524" s="214"/>
      <c r="N524" s="214"/>
      <c r="O524" s="214"/>
      <c r="P524" s="214"/>
    </row>
    <row r="525" spans="1:16" ht="38.25">
      <c r="A525" s="220" t="s">
        <v>475</v>
      </c>
      <c r="B525" s="221"/>
      <c r="C525" s="221"/>
      <c r="D525" s="220" t="s">
        <v>468</v>
      </c>
      <c r="E525" s="221"/>
      <c r="F525" s="222">
        <v>10642.826859999999</v>
      </c>
      <c r="G525" s="222">
        <v>0</v>
      </c>
      <c r="H525" s="222">
        <v>0</v>
      </c>
      <c r="I525" s="218"/>
      <c r="J525" s="214"/>
      <c r="K525" s="214"/>
      <c r="L525" s="214"/>
      <c r="M525" s="214"/>
      <c r="N525" s="214"/>
      <c r="O525" s="214"/>
      <c r="P525" s="214"/>
    </row>
    <row r="526" spans="1:16" outlineLevel="1">
      <c r="A526" s="220" t="s">
        <v>742</v>
      </c>
      <c r="B526" s="221"/>
      <c r="C526" s="221"/>
      <c r="D526" s="220" t="s">
        <v>469</v>
      </c>
      <c r="E526" s="221"/>
      <c r="F526" s="222">
        <v>10642.826859999999</v>
      </c>
      <c r="G526" s="222">
        <v>0</v>
      </c>
      <c r="H526" s="222">
        <v>0</v>
      </c>
      <c r="I526" s="218"/>
      <c r="J526" s="214"/>
      <c r="K526" s="214"/>
      <c r="L526" s="214"/>
      <c r="M526" s="214"/>
      <c r="N526" s="214"/>
      <c r="O526" s="214"/>
      <c r="P526" s="214"/>
    </row>
    <row r="527" spans="1:16" outlineLevel="3">
      <c r="A527" s="220" t="s">
        <v>642</v>
      </c>
      <c r="B527" s="220" t="s">
        <v>239</v>
      </c>
      <c r="C527" s="220" t="s">
        <v>6</v>
      </c>
      <c r="D527" s="220" t="s">
        <v>469</v>
      </c>
      <c r="E527" s="221"/>
      <c r="F527" s="222">
        <v>10642.826859999999</v>
      </c>
      <c r="G527" s="222">
        <v>0</v>
      </c>
      <c r="H527" s="222">
        <v>0</v>
      </c>
      <c r="I527" s="218"/>
      <c r="J527" s="214"/>
      <c r="K527" s="214"/>
      <c r="L527" s="214"/>
      <c r="M527" s="214"/>
      <c r="N527" s="214"/>
      <c r="O527" s="214"/>
      <c r="P527" s="214"/>
    </row>
    <row r="528" spans="1:16" ht="102" outlineLevel="4">
      <c r="A528" s="220" t="s">
        <v>1318</v>
      </c>
      <c r="B528" s="220" t="s">
        <v>239</v>
      </c>
      <c r="C528" s="220" t="s">
        <v>6</v>
      </c>
      <c r="D528" s="220" t="s">
        <v>1319</v>
      </c>
      <c r="E528" s="221"/>
      <c r="F528" s="222">
        <v>442.82686000000001</v>
      </c>
      <c r="G528" s="222">
        <v>0</v>
      </c>
      <c r="H528" s="222">
        <v>0</v>
      </c>
      <c r="I528" s="218"/>
      <c r="J528" s="214"/>
      <c r="K528" s="214"/>
      <c r="L528" s="214"/>
      <c r="M528" s="214"/>
      <c r="N528" s="214"/>
      <c r="O528" s="214"/>
      <c r="P528" s="214"/>
    </row>
    <row r="529" spans="1:16" outlineLevel="5">
      <c r="A529" s="220" t="s">
        <v>623</v>
      </c>
      <c r="B529" s="220" t="s">
        <v>239</v>
      </c>
      <c r="C529" s="220" t="s">
        <v>6</v>
      </c>
      <c r="D529" s="220" t="s">
        <v>1319</v>
      </c>
      <c r="E529" s="220" t="s">
        <v>314</v>
      </c>
      <c r="F529" s="222">
        <v>442.82686000000001</v>
      </c>
      <c r="G529" s="222">
        <v>0</v>
      </c>
      <c r="H529" s="222">
        <v>0</v>
      </c>
      <c r="I529" s="218"/>
      <c r="J529" s="214"/>
      <c r="K529" s="214"/>
      <c r="L529" s="214"/>
      <c r="M529" s="214"/>
      <c r="N529" s="214"/>
      <c r="O529" s="214"/>
      <c r="P529" s="214"/>
    </row>
    <row r="530" spans="1:16" ht="102" outlineLevel="4">
      <c r="A530" s="220" t="s">
        <v>978</v>
      </c>
      <c r="B530" s="220" t="s">
        <v>239</v>
      </c>
      <c r="C530" s="220" t="s">
        <v>6</v>
      </c>
      <c r="D530" s="220" t="s">
        <v>979</v>
      </c>
      <c r="E530" s="221"/>
      <c r="F530" s="222">
        <v>10200</v>
      </c>
      <c r="G530" s="222">
        <v>0</v>
      </c>
      <c r="H530" s="222">
        <v>0</v>
      </c>
      <c r="I530" s="218"/>
      <c r="J530" s="214"/>
      <c r="K530" s="214"/>
      <c r="L530" s="214"/>
      <c r="M530" s="214"/>
      <c r="N530" s="214"/>
      <c r="O530" s="214"/>
      <c r="P530" s="214"/>
    </row>
    <row r="531" spans="1:16" outlineLevel="5">
      <c r="A531" s="220" t="s">
        <v>623</v>
      </c>
      <c r="B531" s="220" t="s">
        <v>239</v>
      </c>
      <c r="C531" s="220" t="s">
        <v>6</v>
      </c>
      <c r="D531" s="220" t="s">
        <v>979</v>
      </c>
      <c r="E531" s="220" t="s">
        <v>314</v>
      </c>
      <c r="F531" s="222">
        <v>10200</v>
      </c>
      <c r="G531" s="222">
        <v>0</v>
      </c>
      <c r="H531" s="222">
        <v>0</v>
      </c>
      <c r="I531" s="218"/>
      <c r="J531" s="214"/>
      <c r="K531" s="214"/>
      <c r="L531" s="214"/>
      <c r="M531" s="214"/>
      <c r="N531" s="214"/>
      <c r="O531" s="214"/>
      <c r="P531" s="214"/>
    </row>
    <row r="532" spans="1:16" ht="51">
      <c r="A532" s="220" t="s">
        <v>944</v>
      </c>
      <c r="B532" s="221"/>
      <c r="C532" s="221"/>
      <c r="D532" s="220" t="s">
        <v>945</v>
      </c>
      <c r="E532" s="221"/>
      <c r="F532" s="222">
        <v>16.13</v>
      </c>
      <c r="G532" s="222">
        <v>16.86</v>
      </c>
      <c r="H532" s="222">
        <v>17.734999999999999</v>
      </c>
      <c r="I532" s="218"/>
      <c r="J532" s="214"/>
      <c r="K532" s="214"/>
      <c r="L532" s="214"/>
      <c r="M532" s="214"/>
      <c r="N532" s="214"/>
      <c r="O532" s="214"/>
      <c r="P532" s="214"/>
    </row>
    <row r="533" spans="1:16" outlineLevel="1">
      <c r="A533" s="220" t="s">
        <v>742</v>
      </c>
      <c r="B533" s="221"/>
      <c r="C533" s="221"/>
      <c r="D533" s="220" t="s">
        <v>946</v>
      </c>
      <c r="E533" s="221"/>
      <c r="F533" s="222">
        <v>16.13</v>
      </c>
      <c r="G533" s="222">
        <v>16.86</v>
      </c>
      <c r="H533" s="222">
        <v>17.734999999999999</v>
      </c>
      <c r="I533" s="218"/>
      <c r="J533" s="214"/>
      <c r="K533" s="214"/>
      <c r="L533" s="214"/>
      <c r="M533" s="214"/>
      <c r="N533" s="214"/>
      <c r="O533" s="214"/>
      <c r="P533" s="214"/>
    </row>
    <row r="534" spans="1:16" outlineLevel="3">
      <c r="A534" s="220" t="s">
        <v>947</v>
      </c>
      <c r="B534" s="220" t="s">
        <v>239</v>
      </c>
      <c r="C534" s="220" t="s">
        <v>4</v>
      </c>
      <c r="D534" s="220" t="s">
        <v>946</v>
      </c>
      <c r="E534" s="221"/>
      <c r="F534" s="222">
        <v>16.13</v>
      </c>
      <c r="G534" s="222">
        <v>16.86</v>
      </c>
      <c r="H534" s="222">
        <v>17.734999999999999</v>
      </c>
      <c r="I534" s="218"/>
      <c r="J534" s="214"/>
      <c r="K534" s="214"/>
      <c r="L534" s="214"/>
      <c r="M534" s="214"/>
      <c r="N534" s="214"/>
      <c r="O534" s="214"/>
      <c r="P534" s="214"/>
    </row>
    <row r="535" spans="1:16" ht="76.5" outlineLevel="4">
      <c r="A535" s="220" t="s">
        <v>988</v>
      </c>
      <c r="B535" s="220" t="s">
        <v>239</v>
      </c>
      <c r="C535" s="220" t="s">
        <v>4</v>
      </c>
      <c r="D535" s="220" t="s">
        <v>948</v>
      </c>
      <c r="E535" s="221"/>
      <c r="F535" s="222">
        <v>16.13</v>
      </c>
      <c r="G535" s="222">
        <v>16.86</v>
      </c>
      <c r="H535" s="222">
        <v>17.734999999999999</v>
      </c>
      <c r="I535" s="218"/>
      <c r="J535" s="214"/>
      <c r="K535" s="214"/>
      <c r="L535" s="214"/>
      <c r="M535" s="214"/>
      <c r="N535" s="214"/>
      <c r="O535" s="214"/>
      <c r="P535" s="214"/>
    </row>
    <row r="536" spans="1:16" ht="38.25" outlineLevel="5">
      <c r="A536" s="220" t="s">
        <v>616</v>
      </c>
      <c r="B536" s="220" t="s">
        <v>239</v>
      </c>
      <c r="C536" s="220" t="s">
        <v>4</v>
      </c>
      <c r="D536" s="220" t="s">
        <v>948</v>
      </c>
      <c r="E536" s="220" t="s">
        <v>313</v>
      </c>
      <c r="F536" s="222">
        <v>16.13</v>
      </c>
      <c r="G536" s="222">
        <v>16.86</v>
      </c>
      <c r="H536" s="222">
        <v>17.734999999999999</v>
      </c>
      <c r="I536" s="218"/>
      <c r="J536" s="214"/>
      <c r="K536" s="214"/>
      <c r="L536" s="214"/>
      <c r="M536" s="214"/>
      <c r="N536" s="214"/>
      <c r="O536" s="214"/>
      <c r="P536" s="214"/>
    </row>
    <row r="537" spans="1:16" ht="51">
      <c r="A537" s="220" t="s">
        <v>1223</v>
      </c>
      <c r="B537" s="221"/>
      <c r="C537" s="221"/>
      <c r="D537" s="220" t="s">
        <v>1224</v>
      </c>
      <c r="E537" s="221"/>
      <c r="F537" s="222">
        <v>3373</v>
      </c>
      <c r="G537" s="222">
        <v>3373</v>
      </c>
      <c r="H537" s="222">
        <v>3373</v>
      </c>
      <c r="I537" s="218"/>
      <c r="J537" s="214"/>
      <c r="K537" s="214"/>
      <c r="L537" s="214"/>
      <c r="M537" s="214"/>
      <c r="N537" s="214"/>
      <c r="O537" s="214"/>
      <c r="P537" s="214"/>
    </row>
    <row r="538" spans="1:16" outlineLevel="1">
      <c r="A538" s="220" t="s">
        <v>742</v>
      </c>
      <c r="B538" s="221"/>
      <c r="C538" s="221"/>
      <c r="D538" s="220" t="s">
        <v>1225</v>
      </c>
      <c r="E538" s="221"/>
      <c r="F538" s="222">
        <v>3373</v>
      </c>
      <c r="G538" s="222">
        <v>3373</v>
      </c>
      <c r="H538" s="222">
        <v>3373</v>
      </c>
      <c r="I538" s="218"/>
      <c r="J538" s="214"/>
      <c r="K538" s="214"/>
      <c r="L538" s="214"/>
      <c r="M538" s="214"/>
      <c r="N538" s="214"/>
      <c r="O538" s="214"/>
      <c r="P538" s="214"/>
    </row>
    <row r="539" spans="1:16" outlineLevel="3">
      <c r="A539" s="220" t="s">
        <v>672</v>
      </c>
      <c r="B539" s="220" t="s">
        <v>242</v>
      </c>
      <c r="C539" s="220" t="s">
        <v>239</v>
      </c>
      <c r="D539" s="220" t="s">
        <v>1225</v>
      </c>
      <c r="E539" s="221"/>
      <c r="F539" s="222">
        <v>2640</v>
      </c>
      <c r="G539" s="222">
        <v>2640</v>
      </c>
      <c r="H539" s="222">
        <v>2640</v>
      </c>
      <c r="I539" s="218"/>
      <c r="J539" s="214"/>
      <c r="K539" s="214"/>
      <c r="L539" s="214"/>
      <c r="M539" s="214"/>
      <c r="N539" s="214"/>
      <c r="O539" s="214"/>
      <c r="P539" s="214"/>
    </row>
    <row r="540" spans="1:16" ht="51" outlineLevel="4">
      <c r="A540" s="220" t="s">
        <v>673</v>
      </c>
      <c r="B540" s="220" t="s">
        <v>242</v>
      </c>
      <c r="C540" s="220" t="s">
        <v>239</v>
      </c>
      <c r="D540" s="220" t="s">
        <v>1226</v>
      </c>
      <c r="E540" s="221"/>
      <c r="F540" s="222">
        <v>2640</v>
      </c>
      <c r="G540" s="222">
        <v>2640</v>
      </c>
      <c r="H540" s="222">
        <v>2640</v>
      </c>
      <c r="I540" s="218"/>
      <c r="J540" s="214"/>
      <c r="K540" s="214"/>
      <c r="L540" s="214"/>
      <c r="M540" s="214"/>
      <c r="N540" s="214"/>
      <c r="O540" s="214"/>
      <c r="P540" s="214"/>
    </row>
    <row r="541" spans="1:16" ht="25.5" outlineLevel="5">
      <c r="A541" s="220" t="s">
        <v>617</v>
      </c>
      <c r="B541" s="220" t="s">
        <v>242</v>
      </c>
      <c r="C541" s="220" t="s">
        <v>239</v>
      </c>
      <c r="D541" s="220" t="s">
        <v>1226</v>
      </c>
      <c r="E541" s="220" t="s">
        <v>318</v>
      </c>
      <c r="F541" s="222">
        <v>2640</v>
      </c>
      <c r="G541" s="222">
        <v>2640</v>
      </c>
      <c r="H541" s="222">
        <v>2640</v>
      </c>
      <c r="I541" s="218"/>
      <c r="J541" s="214"/>
      <c r="K541" s="214"/>
      <c r="L541" s="214"/>
      <c r="M541" s="214"/>
      <c r="N541" s="214"/>
      <c r="O541" s="214"/>
      <c r="P541" s="214"/>
    </row>
    <row r="542" spans="1:16" outlineLevel="3">
      <c r="A542" s="220" t="s">
        <v>659</v>
      </c>
      <c r="B542" s="220" t="s">
        <v>242</v>
      </c>
      <c r="C542" s="220" t="s">
        <v>241</v>
      </c>
      <c r="D542" s="220" t="s">
        <v>1225</v>
      </c>
      <c r="E542" s="221"/>
      <c r="F542" s="222">
        <v>733</v>
      </c>
      <c r="G542" s="222">
        <v>733</v>
      </c>
      <c r="H542" s="222">
        <v>733</v>
      </c>
      <c r="I542" s="218"/>
      <c r="J542" s="214"/>
      <c r="K542" s="214"/>
      <c r="L542" s="214"/>
      <c r="M542" s="214"/>
      <c r="N542" s="214"/>
      <c r="O542" s="214"/>
      <c r="P542" s="214"/>
    </row>
    <row r="543" spans="1:16" ht="38.25" outlineLevel="4">
      <c r="A543" s="220" t="s">
        <v>675</v>
      </c>
      <c r="B543" s="220" t="s">
        <v>242</v>
      </c>
      <c r="C543" s="220" t="s">
        <v>241</v>
      </c>
      <c r="D543" s="220" t="s">
        <v>1227</v>
      </c>
      <c r="E543" s="221"/>
      <c r="F543" s="222">
        <v>733</v>
      </c>
      <c r="G543" s="222">
        <v>733</v>
      </c>
      <c r="H543" s="222">
        <v>733</v>
      </c>
      <c r="I543" s="218"/>
      <c r="J543" s="214"/>
      <c r="K543" s="214"/>
      <c r="L543" s="214"/>
      <c r="M543" s="214"/>
      <c r="N543" s="214"/>
      <c r="O543" s="214"/>
      <c r="P543" s="214"/>
    </row>
    <row r="544" spans="1:16" ht="25.5" outlineLevel="5">
      <c r="A544" s="220" t="s">
        <v>617</v>
      </c>
      <c r="B544" s="220" t="s">
        <v>242</v>
      </c>
      <c r="C544" s="220" t="s">
        <v>241</v>
      </c>
      <c r="D544" s="220" t="s">
        <v>1227</v>
      </c>
      <c r="E544" s="220" t="s">
        <v>318</v>
      </c>
      <c r="F544" s="222">
        <v>733</v>
      </c>
      <c r="G544" s="222">
        <v>733</v>
      </c>
      <c r="H544" s="222">
        <v>733</v>
      </c>
      <c r="I544" s="218"/>
      <c r="J544" s="214"/>
      <c r="K544" s="214"/>
      <c r="L544" s="214"/>
      <c r="M544" s="214"/>
      <c r="N544" s="214"/>
      <c r="O544" s="214"/>
      <c r="P544" s="214"/>
    </row>
    <row r="545" spans="1:16" ht="38.25">
      <c r="A545" s="220" t="s">
        <v>507</v>
      </c>
      <c r="B545" s="221"/>
      <c r="C545" s="221"/>
      <c r="D545" s="220" t="s">
        <v>505</v>
      </c>
      <c r="E545" s="221"/>
      <c r="F545" s="222">
        <v>28542.035530000001</v>
      </c>
      <c r="G545" s="222">
        <v>0</v>
      </c>
      <c r="H545" s="222">
        <v>0</v>
      </c>
      <c r="I545" s="218"/>
      <c r="J545" s="214"/>
      <c r="K545" s="214"/>
      <c r="L545" s="214"/>
      <c r="M545" s="214"/>
      <c r="N545" s="214"/>
      <c r="O545" s="214"/>
      <c r="P545" s="214"/>
    </row>
    <row r="546" spans="1:16" outlineLevel="1">
      <c r="A546" s="220" t="s">
        <v>742</v>
      </c>
      <c r="B546" s="221"/>
      <c r="C546" s="221"/>
      <c r="D546" s="220" t="s">
        <v>506</v>
      </c>
      <c r="E546" s="221"/>
      <c r="F546" s="222">
        <v>28542.035530000001</v>
      </c>
      <c r="G546" s="222">
        <v>0</v>
      </c>
      <c r="H546" s="222">
        <v>0</v>
      </c>
      <c r="I546" s="218"/>
      <c r="J546" s="214"/>
      <c r="K546" s="214"/>
      <c r="L546" s="214"/>
      <c r="M546" s="214"/>
      <c r="N546" s="214"/>
      <c r="O546" s="214"/>
      <c r="P546" s="214"/>
    </row>
    <row r="547" spans="1:16" outlineLevel="3">
      <c r="A547" s="220" t="s">
        <v>642</v>
      </c>
      <c r="B547" s="220" t="s">
        <v>239</v>
      </c>
      <c r="C547" s="220" t="s">
        <v>6</v>
      </c>
      <c r="D547" s="220" t="s">
        <v>506</v>
      </c>
      <c r="E547" s="221"/>
      <c r="F547" s="222">
        <v>17129.46069</v>
      </c>
      <c r="G547" s="222">
        <v>0</v>
      </c>
      <c r="H547" s="222">
        <v>0</v>
      </c>
      <c r="I547" s="218"/>
      <c r="J547" s="214"/>
      <c r="K547" s="214"/>
      <c r="L547" s="214"/>
      <c r="M547" s="214"/>
      <c r="N547" s="214"/>
      <c r="O547" s="214"/>
      <c r="P547" s="214"/>
    </row>
    <row r="548" spans="1:16" ht="38.25" outlineLevel="4">
      <c r="A548" s="220" t="s">
        <v>1320</v>
      </c>
      <c r="B548" s="220" t="s">
        <v>239</v>
      </c>
      <c r="C548" s="220" t="s">
        <v>6</v>
      </c>
      <c r="D548" s="220" t="s">
        <v>1321</v>
      </c>
      <c r="E548" s="221"/>
      <c r="F548" s="222">
        <v>15352.8</v>
      </c>
      <c r="G548" s="222">
        <v>0</v>
      </c>
      <c r="H548" s="222">
        <v>0</v>
      </c>
      <c r="I548" s="218"/>
      <c r="J548" s="214"/>
      <c r="K548" s="214"/>
      <c r="L548" s="214"/>
      <c r="M548" s="214"/>
      <c r="N548" s="214"/>
      <c r="O548" s="214"/>
      <c r="P548" s="214"/>
    </row>
    <row r="549" spans="1:16" ht="38.25" outlineLevel="5">
      <c r="A549" s="220" t="s">
        <v>612</v>
      </c>
      <c r="B549" s="220" t="s">
        <v>239</v>
      </c>
      <c r="C549" s="220" t="s">
        <v>6</v>
      </c>
      <c r="D549" s="220" t="s">
        <v>1321</v>
      </c>
      <c r="E549" s="220" t="s">
        <v>315</v>
      </c>
      <c r="F549" s="222">
        <v>15352.8</v>
      </c>
      <c r="G549" s="222">
        <v>0</v>
      </c>
      <c r="H549" s="222">
        <v>0</v>
      </c>
      <c r="I549" s="218"/>
      <c r="J549" s="214"/>
      <c r="K549" s="214"/>
      <c r="L549" s="214"/>
      <c r="M549" s="214"/>
      <c r="N549" s="214"/>
      <c r="O549" s="214"/>
      <c r="P549" s="214"/>
    </row>
    <row r="550" spans="1:16" ht="25.5" outlineLevel="4">
      <c r="A550" s="220" t="s">
        <v>1322</v>
      </c>
      <c r="B550" s="220" t="s">
        <v>239</v>
      </c>
      <c r="C550" s="220" t="s">
        <v>6</v>
      </c>
      <c r="D550" s="220" t="s">
        <v>1323</v>
      </c>
      <c r="E550" s="221"/>
      <c r="F550" s="222">
        <v>957.36068999999998</v>
      </c>
      <c r="G550" s="222">
        <v>0</v>
      </c>
      <c r="H550" s="222">
        <v>0</v>
      </c>
      <c r="I550" s="218"/>
      <c r="J550" s="214"/>
      <c r="K550" s="214"/>
      <c r="L550" s="214"/>
      <c r="M550" s="214"/>
      <c r="N550" s="214"/>
      <c r="O550" s="214"/>
      <c r="P550" s="214"/>
    </row>
    <row r="551" spans="1:16" ht="38.25" outlineLevel="5">
      <c r="A551" s="220" t="s">
        <v>616</v>
      </c>
      <c r="B551" s="220" t="s">
        <v>239</v>
      </c>
      <c r="C551" s="220" t="s">
        <v>6</v>
      </c>
      <c r="D551" s="220" t="s">
        <v>1323</v>
      </c>
      <c r="E551" s="220" t="s">
        <v>313</v>
      </c>
      <c r="F551" s="222">
        <v>957.36068999999998</v>
      </c>
      <c r="G551" s="222">
        <v>0</v>
      </c>
      <c r="H551" s="222">
        <v>0</v>
      </c>
      <c r="I551" s="218"/>
      <c r="J551" s="214"/>
      <c r="K551" s="214"/>
      <c r="L551" s="214"/>
      <c r="M551" s="214"/>
      <c r="N551" s="214"/>
      <c r="O551" s="214"/>
      <c r="P551" s="214"/>
    </row>
    <row r="552" spans="1:16" ht="102" outlineLevel="4">
      <c r="A552" s="220" t="s">
        <v>1378</v>
      </c>
      <c r="B552" s="220" t="s">
        <v>239</v>
      </c>
      <c r="C552" s="220" t="s">
        <v>6</v>
      </c>
      <c r="D552" s="220" t="s">
        <v>1379</v>
      </c>
      <c r="E552" s="221"/>
      <c r="F552" s="222">
        <v>819.3</v>
      </c>
      <c r="G552" s="222">
        <v>0</v>
      </c>
      <c r="H552" s="222">
        <v>0</v>
      </c>
      <c r="I552" s="218"/>
      <c r="J552" s="214"/>
      <c r="K552" s="214"/>
      <c r="L552" s="214"/>
      <c r="M552" s="214"/>
      <c r="N552" s="214"/>
      <c r="O552" s="214"/>
      <c r="P552" s="214"/>
    </row>
    <row r="553" spans="1:16" ht="38.25" outlineLevel="5">
      <c r="A553" s="220" t="s">
        <v>616</v>
      </c>
      <c r="B553" s="220" t="s">
        <v>239</v>
      </c>
      <c r="C553" s="220" t="s">
        <v>6</v>
      </c>
      <c r="D553" s="220" t="s">
        <v>1379</v>
      </c>
      <c r="E553" s="220" t="s">
        <v>313</v>
      </c>
      <c r="F553" s="222">
        <v>819.3</v>
      </c>
      <c r="G553" s="222">
        <v>0</v>
      </c>
      <c r="H553" s="222">
        <v>0</v>
      </c>
      <c r="I553" s="218"/>
      <c r="J553" s="214"/>
      <c r="K553" s="214"/>
      <c r="L553" s="214"/>
      <c r="M553" s="214"/>
      <c r="N553" s="214"/>
      <c r="O553" s="214"/>
      <c r="P553" s="214"/>
    </row>
    <row r="554" spans="1:16" ht="38.25" outlineLevel="3">
      <c r="A554" s="220" t="s">
        <v>700</v>
      </c>
      <c r="B554" s="220" t="s">
        <v>241</v>
      </c>
      <c r="C554" s="220" t="s">
        <v>240</v>
      </c>
      <c r="D554" s="220" t="s">
        <v>506</v>
      </c>
      <c r="E554" s="221"/>
      <c r="F554" s="222">
        <v>199.47094999999999</v>
      </c>
      <c r="G554" s="222">
        <v>0</v>
      </c>
      <c r="H554" s="222">
        <v>0</v>
      </c>
      <c r="I554" s="218"/>
      <c r="J554" s="214"/>
      <c r="K554" s="214"/>
      <c r="L554" s="214"/>
      <c r="M554" s="214"/>
      <c r="N554" s="214"/>
      <c r="O554" s="214"/>
      <c r="P554" s="214"/>
    </row>
    <row r="555" spans="1:16" ht="25.5" outlineLevel="4">
      <c r="A555" s="220" t="s">
        <v>1322</v>
      </c>
      <c r="B555" s="220" t="s">
        <v>241</v>
      </c>
      <c r="C555" s="220" t="s">
        <v>240</v>
      </c>
      <c r="D555" s="220" t="s">
        <v>1323</v>
      </c>
      <c r="E555" s="221"/>
      <c r="F555" s="222">
        <v>199.47094999999999</v>
      </c>
      <c r="G555" s="222">
        <v>0</v>
      </c>
      <c r="H555" s="222">
        <v>0</v>
      </c>
      <c r="I555" s="218"/>
      <c r="J555" s="214"/>
      <c r="K555" s="214"/>
      <c r="L555" s="214"/>
      <c r="M555" s="214"/>
      <c r="N555" s="214"/>
      <c r="O555" s="214"/>
      <c r="P555" s="214"/>
    </row>
    <row r="556" spans="1:16" ht="38.25" outlineLevel="5">
      <c r="A556" s="220" t="s">
        <v>616</v>
      </c>
      <c r="B556" s="220" t="s">
        <v>241</v>
      </c>
      <c r="C556" s="220" t="s">
        <v>240</v>
      </c>
      <c r="D556" s="220" t="s">
        <v>1323</v>
      </c>
      <c r="E556" s="220" t="s">
        <v>313</v>
      </c>
      <c r="F556" s="222">
        <v>199.47094999999999</v>
      </c>
      <c r="G556" s="222">
        <v>0</v>
      </c>
      <c r="H556" s="222">
        <v>0</v>
      </c>
      <c r="I556" s="218"/>
      <c r="J556" s="214"/>
      <c r="K556" s="214"/>
      <c r="L556" s="214"/>
      <c r="M556" s="214"/>
      <c r="N556" s="214"/>
      <c r="O556" s="214"/>
      <c r="P556" s="214"/>
    </row>
    <row r="557" spans="1:16" outlineLevel="3">
      <c r="A557" s="220" t="s">
        <v>694</v>
      </c>
      <c r="B557" s="220" t="s">
        <v>234</v>
      </c>
      <c r="C557" s="220" t="s">
        <v>240</v>
      </c>
      <c r="D557" s="220" t="s">
        <v>506</v>
      </c>
      <c r="E557" s="221"/>
      <c r="F557" s="222">
        <v>2688.2508200000002</v>
      </c>
      <c r="G557" s="222">
        <v>0</v>
      </c>
      <c r="H557" s="222">
        <v>0</v>
      </c>
      <c r="I557" s="218"/>
      <c r="J557" s="214"/>
      <c r="K557" s="214"/>
      <c r="L557" s="214"/>
      <c r="M557" s="214"/>
      <c r="N557" s="214"/>
      <c r="O557" s="214"/>
      <c r="P557" s="214"/>
    </row>
    <row r="558" spans="1:16" ht="25.5" outlineLevel="4">
      <c r="A558" s="220" t="s">
        <v>1322</v>
      </c>
      <c r="B558" s="220" t="s">
        <v>234</v>
      </c>
      <c r="C558" s="220" t="s">
        <v>240</v>
      </c>
      <c r="D558" s="220" t="s">
        <v>1323</v>
      </c>
      <c r="E558" s="221"/>
      <c r="F558" s="222">
        <v>2688.2508200000002</v>
      </c>
      <c r="G558" s="222">
        <v>0</v>
      </c>
      <c r="H558" s="222">
        <v>0</v>
      </c>
      <c r="I558" s="218"/>
      <c r="J558" s="214"/>
      <c r="K558" s="214"/>
      <c r="L558" s="214"/>
      <c r="M558" s="214"/>
      <c r="N558" s="214"/>
      <c r="O558" s="214"/>
      <c r="P558" s="214"/>
    </row>
    <row r="559" spans="1:16" ht="38.25" outlineLevel="5">
      <c r="A559" s="220" t="s">
        <v>612</v>
      </c>
      <c r="B559" s="220" t="s">
        <v>234</v>
      </c>
      <c r="C559" s="220" t="s">
        <v>240</v>
      </c>
      <c r="D559" s="220" t="s">
        <v>1323</v>
      </c>
      <c r="E559" s="220" t="s">
        <v>315</v>
      </c>
      <c r="F559" s="222">
        <v>2688.2508200000002</v>
      </c>
      <c r="G559" s="222">
        <v>0</v>
      </c>
      <c r="H559" s="222">
        <v>0</v>
      </c>
      <c r="I559" s="218"/>
      <c r="J559" s="214"/>
      <c r="K559" s="214"/>
      <c r="L559" s="214"/>
      <c r="M559" s="214"/>
      <c r="N559" s="214"/>
      <c r="O559" s="214"/>
      <c r="P559" s="214"/>
    </row>
    <row r="560" spans="1:16" outlineLevel="3">
      <c r="A560" s="220" t="s">
        <v>660</v>
      </c>
      <c r="B560" s="220" t="s">
        <v>4</v>
      </c>
      <c r="C560" s="220" t="s">
        <v>239</v>
      </c>
      <c r="D560" s="220" t="s">
        <v>506</v>
      </c>
      <c r="E560" s="221"/>
      <c r="F560" s="222">
        <v>5114.2435699999996</v>
      </c>
      <c r="G560" s="222">
        <v>0</v>
      </c>
      <c r="H560" s="222">
        <v>0</v>
      </c>
      <c r="I560" s="218"/>
      <c r="J560" s="214"/>
      <c r="K560" s="214"/>
      <c r="L560" s="214"/>
      <c r="M560" s="214"/>
      <c r="N560" s="214"/>
      <c r="O560" s="214"/>
      <c r="P560" s="214"/>
    </row>
    <row r="561" spans="1:16" ht="25.5" outlineLevel="4">
      <c r="A561" s="220" t="s">
        <v>1322</v>
      </c>
      <c r="B561" s="220" t="s">
        <v>4</v>
      </c>
      <c r="C561" s="220" t="s">
        <v>239</v>
      </c>
      <c r="D561" s="220" t="s">
        <v>1323</v>
      </c>
      <c r="E561" s="221"/>
      <c r="F561" s="222">
        <v>5114.2435699999996</v>
      </c>
      <c r="G561" s="222">
        <v>0</v>
      </c>
      <c r="H561" s="222">
        <v>0</v>
      </c>
      <c r="I561" s="218"/>
      <c r="J561" s="214"/>
      <c r="K561" s="214"/>
      <c r="L561" s="214"/>
      <c r="M561" s="214"/>
      <c r="N561" s="214"/>
      <c r="O561" s="214"/>
      <c r="P561" s="214"/>
    </row>
    <row r="562" spans="1:16" ht="38.25" outlineLevel="5">
      <c r="A562" s="220" t="s">
        <v>616</v>
      </c>
      <c r="B562" s="220" t="s">
        <v>4</v>
      </c>
      <c r="C562" s="220" t="s">
        <v>239</v>
      </c>
      <c r="D562" s="220" t="s">
        <v>1323</v>
      </c>
      <c r="E562" s="220" t="s">
        <v>313</v>
      </c>
      <c r="F562" s="222">
        <v>5114.2435699999996</v>
      </c>
      <c r="G562" s="222">
        <v>0</v>
      </c>
      <c r="H562" s="222">
        <v>0</v>
      </c>
      <c r="I562" s="218"/>
      <c r="J562" s="214"/>
      <c r="K562" s="214"/>
      <c r="L562" s="214"/>
      <c r="M562" s="214"/>
      <c r="N562" s="214"/>
      <c r="O562" s="214"/>
      <c r="P562" s="214"/>
    </row>
    <row r="563" spans="1:16" outlineLevel="3">
      <c r="A563" s="220" t="s">
        <v>610</v>
      </c>
      <c r="B563" s="220" t="s">
        <v>236</v>
      </c>
      <c r="C563" s="220" t="s">
        <v>239</v>
      </c>
      <c r="D563" s="220" t="s">
        <v>506</v>
      </c>
      <c r="E563" s="221"/>
      <c r="F563" s="222">
        <v>2667.3472900000002</v>
      </c>
      <c r="G563" s="222">
        <v>0</v>
      </c>
      <c r="H563" s="222">
        <v>0</v>
      </c>
      <c r="I563" s="218"/>
      <c r="J563" s="214"/>
      <c r="K563" s="214"/>
      <c r="L563" s="214"/>
      <c r="M563" s="214"/>
      <c r="N563" s="214"/>
      <c r="O563" s="214"/>
      <c r="P563" s="214"/>
    </row>
    <row r="564" spans="1:16" ht="25.5" outlineLevel="4">
      <c r="A564" s="220" t="s">
        <v>1322</v>
      </c>
      <c r="B564" s="220" t="s">
        <v>236</v>
      </c>
      <c r="C564" s="220" t="s">
        <v>239</v>
      </c>
      <c r="D564" s="220" t="s">
        <v>1323</v>
      </c>
      <c r="E564" s="221"/>
      <c r="F564" s="222">
        <v>167.34728999999999</v>
      </c>
      <c r="G564" s="222">
        <v>0</v>
      </c>
      <c r="H564" s="222">
        <v>0</v>
      </c>
      <c r="I564" s="218"/>
      <c r="J564" s="214"/>
      <c r="K564" s="214"/>
      <c r="L564" s="214"/>
      <c r="M564" s="214"/>
      <c r="N564" s="214"/>
      <c r="O564" s="214"/>
      <c r="P564" s="214"/>
    </row>
    <row r="565" spans="1:16" ht="38.25" outlineLevel="5">
      <c r="A565" s="220" t="s">
        <v>612</v>
      </c>
      <c r="B565" s="220" t="s">
        <v>236</v>
      </c>
      <c r="C565" s="220" t="s">
        <v>239</v>
      </c>
      <c r="D565" s="220" t="s">
        <v>1323</v>
      </c>
      <c r="E565" s="220" t="s">
        <v>315</v>
      </c>
      <c r="F565" s="222">
        <v>167.34728999999999</v>
      </c>
      <c r="G565" s="222">
        <v>0</v>
      </c>
      <c r="H565" s="222">
        <v>0</v>
      </c>
      <c r="I565" s="218"/>
      <c r="J565" s="214"/>
      <c r="K565" s="214"/>
      <c r="L565" s="214"/>
      <c r="M565" s="214"/>
      <c r="N565" s="214"/>
      <c r="O565" s="214"/>
      <c r="P565" s="214"/>
    </row>
    <row r="566" spans="1:16" ht="25.5" outlineLevel="4">
      <c r="A566" s="220" t="s">
        <v>1324</v>
      </c>
      <c r="B566" s="220" t="s">
        <v>236</v>
      </c>
      <c r="C566" s="220" t="s">
        <v>239</v>
      </c>
      <c r="D566" s="220" t="s">
        <v>1325</v>
      </c>
      <c r="E566" s="221"/>
      <c r="F566" s="222">
        <v>2500</v>
      </c>
      <c r="G566" s="222">
        <v>0</v>
      </c>
      <c r="H566" s="222">
        <v>0</v>
      </c>
      <c r="I566" s="218"/>
      <c r="J566" s="214"/>
      <c r="K566" s="214"/>
      <c r="L566" s="214"/>
      <c r="M566" s="214"/>
      <c r="N566" s="214"/>
      <c r="O566" s="214"/>
      <c r="P566" s="214"/>
    </row>
    <row r="567" spans="1:16" ht="38.25" outlineLevel="5">
      <c r="A567" s="220" t="s">
        <v>616</v>
      </c>
      <c r="B567" s="220" t="s">
        <v>236</v>
      </c>
      <c r="C567" s="220" t="s">
        <v>239</v>
      </c>
      <c r="D567" s="220" t="s">
        <v>1325</v>
      </c>
      <c r="E567" s="220" t="s">
        <v>313</v>
      </c>
      <c r="F567" s="222">
        <v>2500</v>
      </c>
      <c r="G567" s="222">
        <v>0</v>
      </c>
      <c r="H567" s="222">
        <v>0</v>
      </c>
      <c r="I567" s="218"/>
      <c r="J567" s="214"/>
      <c r="K567" s="214"/>
      <c r="L567" s="214"/>
      <c r="M567" s="214"/>
      <c r="N567" s="214"/>
      <c r="O567" s="214"/>
      <c r="P567" s="214"/>
    </row>
    <row r="568" spans="1:16" outlineLevel="3">
      <c r="A568" s="220" t="s">
        <v>620</v>
      </c>
      <c r="B568" s="220" t="s">
        <v>236</v>
      </c>
      <c r="C568" s="220" t="s">
        <v>237</v>
      </c>
      <c r="D568" s="220" t="s">
        <v>506</v>
      </c>
      <c r="E568" s="221"/>
      <c r="F568" s="222">
        <v>659.52452000000005</v>
      </c>
      <c r="G568" s="222">
        <v>0</v>
      </c>
      <c r="H568" s="222">
        <v>0</v>
      </c>
      <c r="I568" s="218"/>
      <c r="J568" s="214"/>
      <c r="K568" s="214"/>
      <c r="L568" s="214"/>
      <c r="M568" s="214"/>
      <c r="N568" s="214"/>
      <c r="O568" s="214"/>
      <c r="P568" s="214"/>
    </row>
    <row r="569" spans="1:16" ht="25.5" outlineLevel="4">
      <c r="A569" s="220" t="s">
        <v>1322</v>
      </c>
      <c r="B569" s="220" t="s">
        <v>236</v>
      </c>
      <c r="C569" s="220" t="s">
        <v>237</v>
      </c>
      <c r="D569" s="220" t="s">
        <v>1323</v>
      </c>
      <c r="E569" s="221"/>
      <c r="F569" s="222">
        <v>659.52452000000005</v>
      </c>
      <c r="G569" s="222">
        <v>0</v>
      </c>
      <c r="H569" s="222">
        <v>0</v>
      </c>
      <c r="I569" s="218"/>
      <c r="J569" s="214"/>
      <c r="K569" s="214"/>
      <c r="L569" s="214"/>
      <c r="M569" s="214"/>
      <c r="N569" s="214"/>
      <c r="O569" s="214"/>
      <c r="P569" s="214"/>
    </row>
    <row r="570" spans="1:16" ht="38.25" outlineLevel="5">
      <c r="A570" s="220" t="s">
        <v>612</v>
      </c>
      <c r="B570" s="220" t="s">
        <v>236</v>
      </c>
      <c r="C570" s="220" t="s">
        <v>237</v>
      </c>
      <c r="D570" s="220" t="s">
        <v>1323</v>
      </c>
      <c r="E570" s="220" t="s">
        <v>315</v>
      </c>
      <c r="F570" s="222">
        <v>659.52452000000005</v>
      </c>
      <c r="G570" s="222">
        <v>0</v>
      </c>
      <c r="H570" s="222">
        <v>0</v>
      </c>
      <c r="I570" s="218"/>
      <c r="J570" s="214"/>
      <c r="K570" s="214"/>
      <c r="L570" s="214"/>
      <c r="M570" s="214"/>
      <c r="N570" s="214"/>
      <c r="O570" s="214"/>
      <c r="P570" s="214"/>
    </row>
    <row r="571" spans="1:16" outlineLevel="3">
      <c r="A571" s="220" t="s">
        <v>627</v>
      </c>
      <c r="B571" s="220" t="s">
        <v>236</v>
      </c>
      <c r="C571" s="220" t="s">
        <v>241</v>
      </c>
      <c r="D571" s="220" t="s">
        <v>506</v>
      </c>
      <c r="E571" s="221"/>
      <c r="F571" s="222">
        <v>83.148390000000006</v>
      </c>
      <c r="G571" s="222">
        <v>0</v>
      </c>
      <c r="H571" s="222">
        <v>0</v>
      </c>
      <c r="I571" s="218"/>
      <c r="J571" s="214"/>
      <c r="K571" s="214"/>
      <c r="L571" s="214"/>
      <c r="M571" s="214"/>
      <c r="N571" s="214"/>
      <c r="O571" s="214"/>
      <c r="P571" s="214"/>
    </row>
    <row r="572" spans="1:16" ht="25.5" outlineLevel="4">
      <c r="A572" s="220" t="s">
        <v>1322</v>
      </c>
      <c r="B572" s="220" t="s">
        <v>236</v>
      </c>
      <c r="C572" s="220" t="s">
        <v>241</v>
      </c>
      <c r="D572" s="220" t="s">
        <v>1323</v>
      </c>
      <c r="E572" s="221"/>
      <c r="F572" s="222">
        <v>83.148390000000006</v>
      </c>
      <c r="G572" s="222">
        <v>0</v>
      </c>
      <c r="H572" s="222">
        <v>0</v>
      </c>
      <c r="I572" s="218"/>
      <c r="J572" s="214"/>
      <c r="K572" s="214"/>
      <c r="L572" s="214"/>
      <c r="M572" s="214"/>
      <c r="N572" s="214"/>
      <c r="O572" s="214"/>
      <c r="P572" s="214"/>
    </row>
    <row r="573" spans="1:16" ht="38.25" outlineLevel="5">
      <c r="A573" s="220" t="s">
        <v>612</v>
      </c>
      <c r="B573" s="220" t="s">
        <v>236</v>
      </c>
      <c r="C573" s="220" t="s">
        <v>241</v>
      </c>
      <c r="D573" s="220" t="s">
        <v>1323</v>
      </c>
      <c r="E573" s="220" t="s">
        <v>315</v>
      </c>
      <c r="F573" s="222">
        <v>83.148390000000006</v>
      </c>
      <c r="G573" s="222">
        <v>0</v>
      </c>
      <c r="H573" s="222">
        <v>0</v>
      </c>
      <c r="I573" s="218"/>
      <c r="J573" s="214"/>
      <c r="K573" s="214"/>
      <c r="L573" s="214"/>
      <c r="M573" s="214"/>
      <c r="N573" s="214"/>
      <c r="O573" s="214"/>
      <c r="P573" s="214"/>
    </row>
    <row r="574" spans="1:16" ht="25.5" outlineLevel="3">
      <c r="A574" s="220" t="s">
        <v>730</v>
      </c>
      <c r="B574" s="220" t="s">
        <v>5</v>
      </c>
      <c r="C574" s="220" t="s">
        <v>4</v>
      </c>
      <c r="D574" s="220" t="s">
        <v>506</v>
      </c>
      <c r="E574" s="221"/>
      <c r="F574" s="222">
        <v>0.58930000000000005</v>
      </c>
      <c r="G574" s="222">
        <v>0</v>
      </c>
      <c r="H574" s="222">
        <v>0</v>
      </c>
      <c r="I574" s="218"/>
      <c r="J574" s="214"/>
      <c r="K574" s="214"/>
      <c r="L574" s="214"/>
      <c r="M574" s="214"/>
      <c r="N574" s="214"/>
      <c r="O574" s="214"/>
      <c r="P574" s="214"/>
    </row>
    <row r="575" spans="1:16" ht="76.5" outlineLevel="4">
      <c r="A575" s="220" t="s">
        <v>1380</v>
      </c>
      <c r="B575" s="220" t="s">
        <v>5</v>
      </c>
      <c r="C575" s="220" t="s">
        <v>4</v>
      </c>
      <c r="D575" s="220" t="s">
        <v>1381</v>
      </c>
      <c r="E575" s="221"/>
      <c r="F575" s="222">
        <v>0.58930000000000005</v>
      </c>
      <c r="G575" s="222">
        <v>0</v>
      </c>
      <c r="H575" s="222">
        <v>0</v>
      </c>
      <c r="I575" s="218"/>
      <c r="J575" s="214"/>
      <c r="K575" s="214"/>
      <c r="L575" s="214"/>
      <c r="M575" s="214"/>
      <c r="N575" s="214"/>
      <c r="O575" s="214"/>
      <c r="P575" s="214"/>
    </row>
    <row r="576" spans="1:16" ht="38.25" outlineLevel="5">
      <c r="A576" s="220" t="s">
        <v>616</v>
      </c>
      <c r="B576" s="220" t="s">
        <v>5</v>
      </c>
      <c r="C576" s="220" t="s">
        <v>4</v>
      </c>
      <c r="D576" s="220" t="s">
        <v>1381</v>
      </c>
      <c r="E576" s="220" t="s">
        <v>313</v>
      </c>
      <c r="F576" s="222">
        <v>0.58930000000000005</v>
      </c>
      <c r="G576" s="222">
        <v>0</v>
      </c>
      <c r="H576" s="222">
        <v>0</v>
      </c>
      <c r="I576" s="218"/>
      <c r="J576" s="214"/>
      <c r="K576" s="214"/>
      <c r="L576" s="214"/>
      <c r="M576" s="214"/>
      <c r="N576" s="214"/>
      <c r="O576" s="214"/>
      <c r="P576" s="214"/>
    </row>
    <row r="577" spans="1:15" ht="12.75" customHeight="1">
      <c r="A577" s="223" t="s">
        <v>607</v>
      </c>
      <c r="B577" s="223"/>
      <c r="C577" s="223"/>
      <c r="D577" s="223"/>
      <c r="E577" s="223"/>
      <c r="F577" s="224">
        <v>1202216.68799</v>
      </c>
      <c r="G577" s="224">
        <v>1100993.14653</v>
      </c>
      <c r="H577" s="224">
        <v>1094024.5025299999</v>
      </c>
      <c r="I577" s="218"/>
      <c r="J577" s="214"/>
      <c r="K577" s="214"/>
      <c r="L577" s="214"/>
      <c r="M577" s="214"/>
      <c r="N577" s="214"/>
      <c r="O577" s="214"/>
    </row>
    <row r="578" spans="1:15" ht="12.75" customHeight="1">
      <c r="A578" s="225"/>
      <c r="B578" s="225"/>
      <c r="C578" s="225"/>
      <c r="D578" s="225"/>
      <c r="E578" s="225"/>
      <c r="F578" s="225"/>
      <c r="G578" s="225"/>
      <c r="H578" s="225"/>
      <c r="I578" s="214"/>
      <c r="J578" s="214"/>
      <c r="K578" s="214"/>
      <c r="L578" s="214"/>
      <c r="M578" s="214"/>
      <c r="N578" s="214"/>
      <c r="O578" s="214"/>
    </row>
    <row r="579" spans="1:15" ht="12.75" customHeight="1">
      <c r="A579" s="361"/>
      <c r="B579" s="361"/>
      <c r="C579" s="361"/>
      <c r="D579" s="361"/>
      <c r="E579" s="361"/>
      <c r="F579" s="362"/>
      <c r="G579" s="362"/>
      <c r="H579" s="362"/>
      <c r="I579" s="362"/>
      <c r="J579" s="226"/>
      <c r="K579" s="214"/>
      <c r="L579" s="214"/>
      <c r="M579" s="214"/>
      <c r="N579" s="214"/>
      <c r="O579" s="214"/>
    </row>
  </sheetData>
  <mergeCells count="15">
    <mergeCell ref="F6:F7"/>
    <mergeCell ref="G6:G7"/>
    <mergeCell ref="H6:H7"/>
    <mergeCell ref="A579:D579"/>
    <mergeCell ref="E579:I579"/>
    <mergeCell ref="A6:A7"/>
    <mergeCell ref="B6:B7"/>
    <mergeCell ref="C6:C7"/>
    <mergeCell ref="D6:D7"/>
    <mergeCell ref="E6:E7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692"/>
  <sheetViews>
    <sheetView tabSelected="1" view="pageBreakPreview" topLeftCell="A210" zoomScale="130" zoomScaleNormal="100" zoomScaleSheetLayoutView="130" workbookViewId="0">
      <selection activeCell="G220" sqref="G220"/>
    </sheetView>
  </sheetViews>
  <sheetFormatPr defaultRowHeight="12.75"/>
  <cols>
    <col min="1" max="1" width="28.5546875" style="229" customWidth="1"/>
    <col min="2" max="2" width="5.21875" style="229" customWidth="1"/>
    <col min="3" max="3" width="2.77734375" style="229" customWidth="1"/>
    <col min="4" max="4" width="3.109375" style="229" customWidth="1"/>
    <col min="5" max="5" width="8.88671875" style="229"/>
    <col min="6" max="6" width="3.5546875" style="229" customWidth="1"/>
    <col min="7" max="16384" width="8.88671875" style="229"/>
  </cols>
  <sheetData>
    <row r="1" spans="1:16" ht="126.75" customHeight="1">
      <c r="A1" s="353" t="s">
        <v>1293</v>
      </c>
      <c r="B1" s="353"/>
      <c r="C1" s="353"/>
      <c r="D1" s="353"/>
      <c r="E1" s="353"/>
      <c r="F1" s="353"/>
      <c r="G1" s="353"/>
      <c r="H1" s="353"/>
      <c r="I1" s="353"/>
      <c r="J1" s="214"/>
      <c r="K1" s="214"/>
      <c r="L1" s="214"/>
      <c r="M1" s="214"/>
      <c r="N1" s="214"/>
      <c r="O1" s="214"/>
      <c r="P1" s="228"/>
    </row>
    <row r="2" spans="1:16" ht="115.5" customHeight="1">
      <c r="A2" s="353" t="s">
        <v>1397</v>
      </c>
      <c r="B2" s="353"/>
      <c r="C2" s="353"/>
      <c r="D2" s="353"/>
      <c r="E2" s="353"/>
      <c r="F2" s="353"/>
      <c r="G2" s="353"/>
      <c r="H2" s="353"/>
      <c r="I2" s="353"/>
      <c r="J2" s="162"/>
      <c r="K2" s="162"/>
      <c r="L2" s="162"/>
      <c r="M2" s="162"/>
      <c r="N2" s="162"/>
      <c r="O2" s="162"/>
      <c r="P2" s="228"/>
    </row>
    <row r="3" spans="1:16" ht="72" customHeight="1">
      <c r="A3" s="354" t="s">
        <v>1294</v>
      </c>
      <c r="B3" s="354"/>
      <c r="C3" s="354"/>
      <c r="D3" s="354"/>
      <c r="E3" s="354"/>
      <c r="F3" s="354"/>
      <c r="G3" s="354"/>
      <c r="H3" s="354"/>
      <c r="I3" s="354"/>
      <c r="J3" s="162"/>
      <c r="K3" s="162"/>
      <c r="L3" s="162"/>
      <c r="M3" s="162"/>
      <c r="N3" s="162"/>
      <c r="O3" s="162"/>
      <c r="P3" s="228"/>
    </row>
    <row r="4" spans="1:16" ht="15">
      <c r="A4" s="355"/>
      <c r="B4" s="356"/>
      <c r="C4" s="356"/>
      <c r="D4" s="356"/>
      <c r="E4" s="356"/>
      <c r="F4" s="356"/>
      <c r="G4" s="356"/>
      <c r="H4" s="356"/>
      <c r="I4" s="356"/>
      <c r="J4" s="216"/>
      <c r="K4" s="216"/>
      <c r="L4" s="216"/>
      <c r="M4" s="216"/>
      <c r="N4" s="216"/>
      <c r="O4" s="216"/>
      <c r="P4" s="228"/>
    </row>
    <row r="5" spans="1:16" ht="15">
      <c r="A5" s="357" t="s">
        <v>817</v>
      </c>
      <c r="B5" s="358"/>
      <c r="C5" s="358"/>
      <c r="D5" s="358"/>
      <c r="E5" s="358"/>
      <c r="F5" s="358"/>
      <c r="G5" s="358"/>
      <c r="H5" s="358"/>
      <c r="I5" s="358"/>
      <c r="J5" s="217"/>
      <c r="K5" s="217"/>
      <c r="L5" s="217"/>
      <c r="M5" s="217"/>
      <c r="N5" s="217"/>
      <c r="O5" s="217"/>
      <c r="P5" s="228"/>
    </row>
    <row r="6" spans="1:16" ht="15">
      <c r="A6" s="359" t="s">
        <v>820</v>
      </c>
      <c r="B6" s="359" t="s">
        <v>1400</v>
      </c>
      <c r="C6" s="359" t="s">
        <v>1401</v>
      </c>
      <c r="D6" s="359" t="s">
        <v>1402</v>
      </c>
      <c r="E6" s="359" t="s">
        <v>1403</v>
      </c>
      <c r="F6" s="359" t="s">
        <v>1404</v>
      </c>
      <c r="G6" s="359" t="s">
        <v>1024</v>
      </c>
      <c r="H6" s="359" t="s">
        <v>1025</v>
      </c>
      <c r="I6" s="359" t="s">
        <v>1292</v>
      </c>
      <c r="J6" s="214"/>
      <c r="K6" s="214"/>
      <c r="L6" s="214"/>
      <c r="M6" s="214"/>
      <c r="N6" s="214"/>
      <c r="O6" s="214"/>
      <c r="P6" s="228"/>
    </row>
    <row r="7" spans="1:16" ht="40.5" customHeight="1">
      <c r="A7" s="360"/>
      <c r="B7" s="360"/>
      <c r="C7" s="360"/>
      <c r="D7" s="360"/>
      <c r="E7" s="360"/>
      <c r="F7" s="360"/>
      <c r="G7" s="360"/>
      <c r="H7" s="360"/>
      <c r="I7" s="360"/>
      <c r="J7" s="214"/>
      <c r="K7" s="214"/>
      <c r="L7" s="214"/>
      <c r="M7" s="214"/>
      <c r="N7" s="214"/>
      <c r="O7" s="214"/>
      <c r="P7" s="228"/>
    </row>
    <row r="8" spans="1:16" ht="15">
      <c r="A8" s="219">
        <v>1</v>
      </c>
      <c r="B8" s="219">
        <v>2</v>
      </c>
      <c r="C8" s="219">
        <v>3</v>
      </c>
      <c r="D8" s="219">
        <v>4</v>
      </c>
      <c r="E8" s="219">
        <v>5</v>
      </c>
      <c r="F8" s="219">
        <v>6</v>
      </c>
      <c r="G8" s="219">
        <v>7</v>
      </c>
      <c r="H8" s="219">
        <v>8</v>
      </c>
      <c r="I8" s="219">
        <v>9</v>
      </c>
      <c r="J8" s="214"/>
      <c r="K8" s="214"/>
      <c r="L8" s="214"/>
      <c r="M8" s="214"/>
      <c r="N8" s="214"/>
      <c r="O8" s="214"/>
      <c r="P8" s="228"/>
    </row>
    <row r="9" spans="1:16" ht="38.25">
      <c r="A9" s="220" t="s">
        <v>532</v>
      </c>
      <c r="B9" s="220" t="s">
        <v>75</v>
      </c>
      <c r="C9" s="221"/>
      <c r="D9" s="221"/>
      <c r="E9" s="221"/>
      <c r="F9" s="221"/>
      <c r="G9" s="222">
        <v>95277.502900000007</v>
      </c>
      <c r="H9" s="222">
        <v>76603.474000000002</v>
      </c>
      <c r="I9" s="222">
        <v>71603.474000000002</v>
      </c>
      <c r="J9" s="214"/>
      <c r="K9" s="214"/>
      <c r="L9" s="214"/>
      <c r="M9" s="214"/>
      <c r="N9" s="214"/>
      <c r="O9" s="214"/>
      <c r="P9" s="214"/>
    </row>
    <row r="10" spans="1:16">
      <c r="A10" s="220" t="s">
        <v>533</v>
      </c>
      <c r="B10" s="220" t="s">
        <v>75</v>
      </c>
      <c r="C10" s="220" t="s">
        <v>239</v>
      </c>
      <c r="D10" s="221"/>
      <c r="E10" s="221"/>
      <c r="F10" s="221"/>
      <c r="G10" s="222">
        <v>3243.9839999999999</v>
      </c>
      <c r="H10" s="222">
        <v>3238.5</v>
      </c>
      <c r="I10" s="222">
        <v>3238.5</v>
      </c>
      <c r="J10" s="214"/>
      <c r="K10" s="214"/>
      <c r="L10" s="214"/>
      <c r="M10" s="214"/>
      <c r="N10" s="214"/>
      <c r="O10" s="214"/>
      <c r="P10" s="214"/>
    </row>
    <row r="11" spans="1:16">
      <c r="A11" s="220" t="s">
        <v>534</v>
      </c>
      <c r="B11" s="220" t="s">
        <v>75</v>
      </c>
      <c r="C11" s="220" t="s">
        <v>239</v>
      </c>
      <c r="D11" s="220" t="s">
        <v>6</v>
      </c>
      <c r="E11" s="221"/>
      <c r="F11" s="221"/>
      <c r="G11" s="222">
        <v>3243.9839999999999</v>
      </c>
      <c r="H11" s="222">
        <v>3238.5</v>
      </c>
      <c r="I11" s="222">
        <v>3238.5</v>
      </c>
      <c r="J11" s="214"/>
      <c r="K11" s="214"/>
      <c r="L11" s="214"/>
      <c r="M11" s="214"/>
      <c r="N11" s="214"/>
      <c r="O11" s="214"/>
      <c r="P11" s="214"/>
    </row>
    <row r="12" spans="1:16" ht="38.25">
      <c r="A12" s="220" t="s">
        <v>535</v>
      </c>
      <c r="B12" s="220" t="s">
        <v>75</v>
      </c>
      <c r="C12" s="220" t="s">
        <v>239</v>
      </c>
      <c r="D12" s="220" t="s">
        <v>6</v>
      </c>
      <c r="E12" s="220" t="s">
        <v>373</v>
      </c>
      <c r="F12" s="221"/>
      <c r="G12" s="222">
        <v>3243.9839999999999</v>
      </c>
      <c r="H12" s="222">
        <v>3238.5</v>
      </c>
      <c r="I12" s="222">
        <v>3238.5</v>
      </c>
      <c r="J12" s="214"/>
      <c r="K12" s="214"/>
      <c r="L12" s="214"/>
      <c r="M12" s="214"/>
      <c r="N12" s="214"/>
      <c r="O12" s="214"/>
      <c r="P12" s="214"/>
    </row>
    <row r="13" spans="1:16">
      <c r="A13" s="220" t="s">
        <v>536</v>
      </c>
      <c r="B13" s="220" t="s">
        <v>75</v>
      </c>
      <c r="C13" s="220" t="s">
        <v>239</v>
      </c>
      <c r="D13" s="220" t="s">
        <v>6</v>
      </c>
      <c r="E13" s="220" t="s">
        <v>374</v>
      </c>
      <c r="F13" s="221"/>
      <c r="G13" s="222">
        <v>3243.9839999999999</v>
      </c>
      <c r="H13" s="222">
        <v>3238.5</v>
      </c>
      <c r="I13" s="222">
        <v>3238.5</v>
      </c>
      <c r="J13" s="214"/>
      <c r="K13" s="214"/>
      <c r="L13" s="214"/>
      <c r="M13" s="214"/>
      <c r="N13" s="214"/>
      <c r="O13" s="214"/>
      <c r="P13" s="214"/>
    </row>
    <row r="14" spans="1:16" ht="38.25">
      <c r="A14" s="220" t="s">
        <v>828</v>
      </c>
      <c r="B14" s="220" t="s">
        <v>75</v>
      </c>
      <c r="C14" s="220" t="s">
        <v>239</v>
      </c>
      <c r="D14" s="220" t="s">
        <v>6</v>
      </c>
      <c r="E14" s="220" t="s">
        <v>378</v>
      </c>
      <c r="F14" s="221"/>
      <c r="G14" s="222">
        <v>3243.9839999999999</v>
      </c>
      <c r="H14" s="222">
        <v>3238.5</v>
      </c>
      <c r="I14" s="222">
        <v>3238.5</v>
      </c>
      <c r="J14" s="214"/>
      <c r="K14" s="214"/>
      <c r="L14" s="214"/>
      <c r="M14" s="214"/>
      <c r="N14" s="214"/>
      <c r="O14" s="214"/>
      <c r="P14" s="214"/>
    </row>
    <row r="15" spans="1:16" ht="25.5">
      <c r="A15" s="220" t="s">
        <v>970</v>
      </c>
      <c r="B15" s="220" t="s">
        <v>75</v>
      </c>
      <c r="C15" s="220" t="s">
        <v>239</v>
      </c>
      <c r="D15" s="220" t="s">
        <v>6</v>
      </c>
      <c r="E15" s="220" t="s">
        <v>964</v>
      </c>
      <c r="F15" s="221"/>
      <c r="G15" s="222">
        <v>732.14800000000002</v>
      </c>
      <c r="H15" s="222">
        <v>732.14800000000002</v>
      </c>
      <c r="I15" s="222">
        <v>732.14800000000002</v>
      </c>
      <c r="J15" s="214"/>
      <c r="K15" s="214"/>
      <c r="L15" s="214"/>
      <c r="M15" s="214"/>
      <c r="N15" s="214"/>
      <c r="O15" s="214"/>
      <c r="P15" s="214"/>
    </row>
    <row r="16" spans="1:16" ht="38.25">
      <c r="A16" s="220" t="s">
        <v>830</v>
      </c>
      <c r="B16" s="220" t="s">
        <v>75</v>
      </c>
      <c r="C16" s="220" t="s">
        <v>239</v>
      </c>
      <c r="D16" s="220" t="s">
        <v>6</v>
      </c>
      <c r="E16" s="220" t="s">
        <v>964</v>
      </c>
      <c r="F16" s="220" t="s">
        <v>315</v>
      </c>
      <c r="G16" s="222">
        <v>732.14800000000002</v>
      </c>
      <c r="H16" s="222">
        <v>732.14800000000002</v>
      </c>
      <c r="I16" s="222">
        <v>732.14800000000002</v>
      </c>
      <c r="J16" s="214"/>
      <c r="K16" s="214"/>
      <c r="L16" s="214"/>
      <c r="M16" s="214"/>
      <c r="N16" s="214"/>
      <c r="O16" s="214"/>
      <c r="P16" s="214"/>
    </row>
    <row r="17" spans="1:16" ht="63.75">
      <c r="A17" s="220" t="s">
        <v>829</v>
      </c>
      <c r="B17" s="220" t="s">
        <v>75</v>
      </c>
      <c r="C17" s="220" t="s">
        <v>239</v>
      </c>
      <c r="D17" s="220" t="s">
        <v>6</v>
      </c>
      <c r="E17" s="220" t="s">
        <v>379</v>
      </c>
      <c r="F17" s="221"/>
      <c r="G17" s="222">
        <v>2511.8359999999998</v>
      </c>
      <c r="H17" s="222">
        <v>2506.3519999999999</v>
      </c>
      <c r="I17" s="222">
        <v>2506.3519999999999</v>
      </c>
      <c r="J17" s="214"/>
      <c r="K17" s="214"/>
      <c r="L17" s="214"/>
      <c r="M17" s="214"/>
      <c r="N17" s="214"/>
      <c r="O17" s="214"/>
      <c r="P17" s="214"/>
    </row>
    <row r="18" spans="1:16" ht="38.25">
      <c r="A18" s="220" t="s">
        <v>830</v>
      </c>
      <c r="B18" s="220" t="s">
        <v>75</v>
      </c>
      <c r="C18" s="220" t="s">
        <v>239</v>
      </c>
      <c r="D18" s="220" t="s">
        <v>6</v>
      </c>
      <c r="E18" s="220" t="s">
        <v>379</v>
      </c>
      <c r="F18" s="220" t="s">
        <v>315</v>
      </c>
      <c r="G18" s="222">
        <v>2511.8359999999998</v>
      </c>
      <c r="H18" s="222">
        <v>2506.3519999999999</v>
      </c>
      <c r="I18" s="222">
        <v>2506.3519999999999</v>
      </c>
      <c r="J18" s="214"/>
      <c r="K18" s="214"/>
      <c r="L18" s="214"/>
      <c r="M18" s="214"/>
      <c r="N18" s="214"/>
      <c r="O18" s="214"/>
      <c r="P18" s="214"/>
    </row>
    <row r="19" spans="1:16">
      <c r="A19" s="220" t="s">
        <v>537</v>
      </c>
      <c r="B19" s="220" t="s">
        <v>75</v>
      </c>
      <c r="C19" s="220" t="s">
        <v>234</v>
      </c>
      <c r="D19" s="221"/>
      <c r="E19" s="221"/>
      <c r="F19" s="221"/>
      <c r="G19" s="222">
        <v>100</v>
      </c>
      <c r="H19" s="222">
        <v>100</v>
      </c>
      <c r="I19" s="222">
        <v>100</v>
      </c>
      <c r="J19" s="214"/>
      <c r="K19" s="214"/>
      <c r="L19" s="214"/>
      <c r="M19" s="214"/>
      <c r="N19" s="214"/>
      <c r="O19" s="214"/>
      <c r="P19" s="214"/>
    </row>
    <row r="20" spans="1:16" ht="25.5">
      <c r="A20" s="220" t="s">
        <v>538</v>
      </c>
      <c r="B20" s="220" t="s">
        <v>75</v>
      </c>
      <c r="C20" s="220" t="s">
        <v>234</v>
      </c>
      <c r="D20" s="220" t="s">
        <v>235</v>
      </c>
      <c r="E20" s="221"/>
      <c r="F20" s="221"/>
      <c r="G20" s="222">
        <v>100</v>
      </c>
      <c r="H20" s="222">
        <v>100</v>
      </c>
      <c r="I20" s="222">
        <v>100</v>
      </c>
      <c r="J20" s="214"/>
      <c r="K20" s="214"/>
      <c r="L20" s="214"/>
      <c r="M20" s="214"/>
      <c r="N20" s="214"/>
      <c r="O20" s="214"/>
      <c r="P20" s="214"/>
    </row>
    <row r="21" spans="1:16" ht="38.25">
      <c r="A21" s="220" t="s">
        <v>535</v>
      </c>
      <c r="B21" s="220" t="s">
        <v>75</v>
      </c>
      <c r="C21" s="220" t="s">
        <v>234</v>
      </c>
      <c r="D21" s="220" t="s">
        <v>235</v>
      </c>
      <c r="E21" s="220" t="s">
        <v>373</v>
      </c>
      <c r="F21" s="221"/>
      <c r="G21" s="222">
        <v>100</v>
      </c>
      <c r="H21" s="222">
        <v>100</v>
      </c>
      <c r="I21" s="222">
        <v>100</v>
      </c>
      <c r="J21" s="214"/>
      <c r="K21" s="214"/>
      <c r="L21" s="214"/>
      <c r="M21" s="214"/>
      <c r="N21" s="214"/>
      <c r="O21" s="214"/>
      <c r="P21" s="214"/>
    </row>
    <row r="22" spans="1:16" ht="25.5">
      <c r="A22" s="220" t="s">
        <v>539</v>
      </c>
      <c r="B22" s="220" t="s">
        <v>75</v>
      </c>
      <c r="C22" s="220" t="s">
        <v>234</v>
      </c>
      <c r="D22" s="220" t="s">
        <v>235</v>
      </c>
      <c r="E22" s="220" t="s">
        <v>385</v>
      </c>
      <c r="F22" s="221"/>
      <c r="G22" s="222">
        <v>100</v>
      </c>
      <c r="H22" s="222">
        <v>100</v>
      </c>
      <c r="I22" s="222">
        <v>100</v>
      </c>
      <c r="J22" s="214"/>
      <c r="K22" s="214"/>
      <c r="L22" s="214"/>
      <c r="M22" s="214"/>
      <c r="N22" s="214"/>
      <c r="O22" s="214"/>
      <c r="P22" s="214"/>
    </row>
    <row r="23" spans="1:16" ht="76.5">
      <c r="A23" s="220" t="s">
        <v>831</v>
      </c>
      <c r="B23" s="220" t="s">
        <v>75</v>
      </c>
      <c r="C23" s="220" t="s">
        <v>234</v>
      </c>
      <c r="D23" s="220" t="s">
        <v>235</v>
      </c>
      <c r="E23" s="220" t="s">
        <v>386</v>
      </c>
      <c r="F23" s="221"/>
      <c r="G23" s="222">
        <v>100</v>
      </c>
      <c r="H23" s="222">
        <v>100</v>
      </c>
      <c r="I23" s="222">
        <v>100</v>
      </c>
      <c r="J23" s="214"/>
      <c r="K23" s="214"/>
      <c r="L23" s="214"/>
      <c r="M23" s="214"/>
      <c r="N23" s="214"/>
      <c r="O23" s="214"/>
      <c r="P23" s="214"/>
    </row>
    <row r="24" spans="1:16" ht="38.25">
      <c r="A24" s="220" t="s">
        <v>832</v>
      </c>
      <c r="B24" s="220" t="s">
        <v>75</v>
      </c>
      <c r="C24" s="220" t="s">
        <v>234</v>
      </c>
      <c r="D24" s="220" t="s">
        <v>235</v>
      </c>
      <c r="E24" s="220" t="s">
        <v>387</v>
      </c>
      <c r="F24" s="221"/>
      <c r="G24" s="222">
        <v>100</v>
      </c>
      <c r="H24" s="222">
        <v>100</v>
      </c>
      <c r="I24" s="222">
        <v>100</v>
      </c>
      <c r="J24" s="214"/>
      <c r="K24" s="214"/>
      <c r="L24" s="214"/>
      <c r="M24" s="214"/>
      <c r="N24" s="214"/>
      <c r="O24" s="214"/>
      <c r="P24" s="214"/>
    </row>
    <row r="25" spans="1:16" ht="38.25">
      <c r="A25" s="220" t="s">
        <v>833</v>
      </c>
      <c r="B25" s="220" t="s">
        <v>75</v>
      </c>
      <c r="C25" s="220" t="s">
        <v>234</v>
      </c>
      <c r="D25" s="220" t="s">
        <v>235</v>
      </c>
      <c r="E25" s="220" t="s">
        <v>387</v>
      </c>
      <c r="F25" s="220" t="s">
        <v>313</v>
      </c>
      <c r="G25" s="222">
        <v>50</v>
      </c>
      <c r="H25" s="222">
        <v>50</v>
      </c>
      <c r="I25" s="222">
        <v>50</v>
      </c>
      <c r="J25" s="214"/>
      <c r="K25" s="214"/>
      <c r="L25" s="214"/>
      <c r="M25" s="214"/>
      <c r="N25" s="214"/>
      <c r="O25" s="214"/>
      <c r="P25" s="214"/>
    </row>
    <row r="26" spans="1:16" ht="38.25">
      <c r="A26" s="220" t="s">
        <v>830</v>
      </c>
      <c r="B26" s="220" t="s">
        <v>75</v>
      </c>
      <c r="C26" s="220" t="s">
        <v>234</v>
      </c>
      <c r="D26" s="220" t="s">
        <v>235</v>
      </c>
      <c r="E26" s="220" t="s">
        <v>387</v>
      </c>
      <c r="F26" s="220" t="s">
        <v>315</v>
      </c>
      <c r="G26" s="222">
        <v>50</v>
      </c>
      <c r="H26" s="222">
        <v>50</v>
      </c>
      <c r="I26" s="222">
        <v>50</v>
      </c>
      <c r="J26" s="214"/>
      <c r="K26" s="214"/>
      <c r="L26" s="214"/>
      <c r="M26" s="214"/>
      <c r="N26" s="214"/>
      <c r="O26" s="214"/>
      <c r="P26" s="214"/>
    </row>
    <row r="27" spans="1:16">
      <c r="A27" s="220" t="s">
        <v>540</v>
      </c>
      <c r="B27" s="220" t="s">
        <v>75</v>
      </c>
      <c r="C27" s="220" t="s">
        <v>236</v>
      </c>
      <c r="D27" s="221"/>
      <c r="E27" s="221"/>
      <c r="F27" s="221"/>
      <c r="G27" s="222">
        <v>36036.543599999997</v>
      </c>
      <c r="H27" s="222">
        <v>32488.413</v>
      </c>
      <c r="I27" s="222">
        <v>32488.413</v>
      </c>
      <c r="J27" s="214"/>
      <c r="K27" s="214"/>
      <c r="L27" s="214"/>
      <c r="M27" s="214"/>
      <c r="N27" s="214"/>
      <c r="O27" s="214"/>
      <c r="P27" s="214"/>
    </row>
    <row r="28" spans="1:16">
      <c r="A28" s="220" t="s">
        <v>541</v>
      </c>
      <c r="B28" s="220" t="s">
        <v>75</v>
      </c>
      <c r="C28" s="220" t="s">
        <v>236</v>
      </c>
      <c r="D28" s="220" t="s">
        <v>241</v>
      </c>
      <c r="E28" s="221"/>
      <c r="F28" s="221"/>
      <c r="G28" s="222">
        <v>36036.543599999997</v>
      </c>
      <c r="H28" s="222">
        <v>32488.413</v>
      </c>
      <c r="I28" s="222">
        <v>32488.413</v>
      </c>
      <c r="J28" s="214"/>
      <c r="K28" s="214"/>
      <c r="L28" s="214"/>
      <c r="M28" s="214"/>
      <c r="N28" s="214"/>
      <c r="O28" s="214"/>
      <c r="P28" s="214"/>
    </row>
    <row r="29" spans="1:16" ht="38.25">
      <c r="A29" s="220" t="s">
        <v>542</v>
      </c>
      <c r="B29" s="220" t="s">
        <v>75</v>
      </c>
      <c r="C29" s="220" t="s">
        <v>236</v>
      </c>
      <c r="D29" s="220" t="s">
        <v>241</v>
      </c>
      <c r="E29" s="220" t="s">
        <v>351</v>
      </c>
      <c r="F29" s="221"/>
      <c r="G29" s="222">
        <v>36036.543599999997</v>
      </c>
      <c r="H29" s="222">
        <v>32488.413</v>
      </c>
      <c r="I29" s="222">
        <v>32488.413</v>
      </c>
      <c r="J29" s="214"/>
      <c r="K29" s="214"/>
      <c r="L29" s="214"/>
      <c r="M29" s="214"/>
      <c r="N29" s="214"/>
      <c r="O29" s="214"/>
      <c r="P29" s="214"/>
    </row>
    <row r="30" spans="1:16" ht="38.25">
      <c r="A30" s="220" t="s">
        <v>543</v>
      </c>
      <c r="B30" s="220" t="s">
        <v>75</v>
      </c>
      <c r="C30" s="220" t="s">
        <v>236</v>
      </c>
      <c r="D30" s="220" t="s">
        <v>241</v>
      </c>
      <c r="E30" s="220" t="s">
        <v>361</v>
      </c>
      <c r="F30" s="221"/>
      <c r="G30" s="222">
        <v>35976.543599999997</v>
      </c>
      <c r="H30" s="222">
        <v>32428.413</v>
      </c>
      <c r="I30" s="222">
        <v>32428.413</v>
      </c>
      <c r="J30" s="214"/>
      <c r="K30" s="214"/>
      <c r="L30" s="214"/>
      <c r="M30" s="214"/>
      <c r="N30" s="214"/>
      <c r="O30" s="214"/>
      <c r="P30" s="214"/>
    </row>
    <row r="31" spans="1:16" ht="51">
      <c r="A31" s="220" t="s">
        <v>1228</v>
      </c>
      <c r="B31" s="220" t="s">
        <v>75</v>
      </c>
      <c r="C31" s="220" t="s">
        <v>236</v>
      </c>
      <c r="D31" s="220" t="s">
        <v>241</v>
      </c>
      <c r="E31" s="220" t="s">
        <v>362</v>
      </c>
      <c r="F31" s="221"/>
      <c r="G31" s="222">
        <v>29503.727599999998</v>
      </c>
      <c r="H31" s="222">
        <v>32428.413</v>
      </c>
      <c r="I31" s="222">
        <v>32428.413</v>
      </c>
      <c r="J31" s="214"/>
      <c r="K31" s="214"/>
      <c r="L31" s="214"/>
      <c r="M31" s="214"/>
      <c r="N31" s="214"/>
      <c r="O31" s="214"/>
      <c r="P31" s="214"/>
    </row>
    <row r="32" spans="1:16" ht="25.5">
      <c r="A32" s="220" t="s">
        <v>970</v>
      </c>
      <c r="B32" s="220" t="s">
        <v>75</v>
      </c>
      <c r="C32" s="220" t="s">
        <v>236</v>
      </c>
      <c r="D32" s="220" t="s">
        <v>241</v>
      </c>
      <c r="E32" s="220" t="s">
        <v>962</v>
      </c>
      <c r="F32" s="221"/>
      <c r="G32" s="222">
        <v>1757.9860000000001</v>
      </c>
      <c r="H32" s="222">
        <v>1757.9860000000001</v>
      </c>
      <c r="I32" s="222">
        <v>1757.9860000000001</v>
      </c>
      <c r="J32" s="214"/>
      <c r="K32" s="214"/>
      <c r="L32" s="214"/>
      <c r="M32" s="214"/>
      <c r="N32" s="214"/>
      <c r="O32" s="214"/>
      <c r="P32" s="214"/>
    </row>
    <row r="33" spans="1:16" ht="38.25">
      <c r="A33" s="220" t="s">
        <v>830</v>
      </c>
      <c r="B33" s="220" t="s">
        <v>75</v>
      </c>
      <c r="C33" s="220" t="s">
        <v>236</v>
      </c>
      <c r="D33" s="220" t="s">
        <v>241</v>
      </c>
      <c r="E33" s="220" t="s">
        <v>962</v>
      </c>
      <c r="F33" s="220" t="s">
        <v>315</v>
      </c>
      <c r="G33" s="222">
        <v>1757.9860000000001</v>
      </c>
      <c r="H33" s="222">
        <v>1757.9860000000001</v>
      </c>
      <c r="I33" s="222">
        <v>1757.9860000000001</v>
      </c>
      <c r="J33" s="214"/>
      <c r="K33" s="214"/>
      <c r="L33" s="214"/>
      <c r="M33" s="214"/>
      <c r="N33" s="214"/>
      <c r="O33" s="214"/>
      <c r="P33" s="214"/>
    </row>
    <row r="34" spans="1:16" ht="51">
      <c r="A34" s="220" t="s">
        <v>834</v>
      </c>
      <c r="B34" s="220" t="s">
        <v>75</v>
      </c>
      <c r="C34" s="220" t="s">
        <v>236</v>
      </c>
      <c r="D34" s="220" t="s">
        <v>241</v>
      </c>
      <c r="E34" s="220" t="s">
        <v>1072</v>
      </c>
      <c r="F34" s="221"/>
      <c r="G34" s="222">
        <v>27745.741600000001</v>
      </c>
      <c r="H34" s="222">
        <v>30670.427</v>
      </c>
      <c r="I34" s="222">
        <v>30670.427</v>
      </c>
      <c r="J34" s="214"/>
      <c r="K34" s="214"/>
      <c r="L34" s="214"/>
      <c r="M34" s="214"/>
      <c r="N34" s="214"/>
      <c r="O34" s="214"/>
      <c r="P34" s="214"/>
    </row>
    <row r="35" spans="1:16" ht="38.25">
      <c r="A35" s="220" t="s">
        <v>830</v>
      </c>
      <c r="B35" s="220" t="s">
        <v>75</v>
      </c>
      <c r="C35" s="220" t="s">
        <v>236</v>
      </c>
      <c r="D35" s="220" t="s">
        <v>241</v>
      </c>
      <c r="E35" s="220" t="s">
        <v>1072</v>
      </c>
      <c r="F35" s="220" t="s">
        <v>315</v>
      </c>
      <c r="G35" s="222">
        <v>27745.741600000001</v>
      </c>
      <c r="H35" s="222">
        <v>30670.427</v>
      </c>
      <c r="I35" s="222">
        <v>30670.427</v>
      </c>
      <c r="J35" s="214"/>
      <c r="K35" s="214"/>
      <c r="L35" s="214"/>
      <c r="M35" s="214"/>
      <c r="N35" s="214"/>
      <c r="O35" s="214"/>
      <c r="P35" s="214"/>
    </row>
    <row r="36" spans="1:16" ht="63.75">
      <c r="A36" s="220" t="s">
        <v>1229</v>
      </c>
      <c r="B36" s="220" t="s">
        <v>75</v>
      </c>
      <c r="C36" s="220" t="s">
        <v>236</v>
      </c>
      <c r="D36" s="220" t="s">
        <v>241</v>
      </c>
      <c r="E36" s="220" t="s">
        <v>364</v>
      </c>
      <c r="F36" s="221"/>
      <c r="G36" s="222">
        <v>6472.8159999999998</v>
      </c>
      <c r="H36" s="222">
        <v>0</v>
      </c>
      <c r="I36" s="222">
        <v>0</v>
      </c>
      <c r="J36" s="214"/>
      <c r="K36" s="214"/>
      <c r="L36" s="214"/>
      <c r="M36" s="214"/>
      <c r="N36" s="214"/>
      <c r="O36" s="214"/>
      <c r="P36" s="214"/>
    </row>
    <row r="37" spans="1:16" ht="89.25">
      <c r="A37" s="220" t="s">
        <v>835</v>
      </c>
      <c r="B37" s="220" t="s">
        <v>75</v>
      </c>
      <c r="C37" s="220" t="s">
        <v>236</v>
      </c>
      <c r="D37" s="220" t="s">
        <v>241</v>
      </c>
      <c r="E37" s="220" t="s">
        <v>1076</v>
      </c>
      <c r="F37" s="221"/>
      <c r="G37" s="222">
        <v>6472.8159999999998</v>
      </c>
      <c r="H37" s="222">
        <v>0</v>
      </c>
      <c r="I37" s="222">
        <v>0</v>
      </c>
      <c r="J37" s="214"/>
      <c r="K37" s="214"/>
      <c r="L37" s="214"/>
      <c r="M37" s="214"/>
      <c r="N37" s="214"/>
      <c r="O37" s="214"/>
      <c r="P37" s="214"/>
    </row>
    <row r="38" spans="1:16" ht="38.25">
      <c r="A38" s="220" t="s">
        <v>830</v>
      </c>
      <c r="B38" s="220" t="s">
        <v>75</v>
      </c>
      <c r="C38" s="220" t="s">
        <v>236</v>
      </c>
      <c r="D38" s="220" t="s">
        <v>241</v>
      </c>
      <c r="E38" s="220" t="s">
        <v>1076</v>
      </c>
      <c r="F38" s="220" t="s">
        <v>315</v>
      </c>
      <c r="G38" s="222">
        <v>6472.8159999999998</v>
      </c>
      <c r="H38" s="222">
        <v>0</v>
      </c>
      <c r="I38" s="222">
        <v>0</v>
      </c>
      <c r="J38" s="214"/>
      <c r="K38" s="214"/>
      <c r="L38" s="214"/>
      <c r="M38" s="214"/>
      <c r="N38" s="214"/>
      <c r="O38" s="214"/>
      <c r="P38" s="214"/>
    </row>
    <row r="39" spans="1:16" ht="38.25">
      <c r="A39" s="220" t="s">
        <v>1230</v>
      </c>
      <c r="B39" s="220" t="s">
        <v>75</v>
      </c>
      <c r="C39" s="220" t="s">
        <v>236</v>
      </c>
      <c r="D39" s="220" t="s">
        <v>241</v>
      </c>
      <c r="E39" s="220" t="s">
        <v>369</v>
      </c>
      <c r="F39" s="221"/>
      <c r="G39" s="222">
        <v>60</v>
      </c>
      <c r="H39" s="222">
        <v>60</v>
      </c>
      <c r="I39" s="222">
        <v>60</v>
      </c>
      <c r="J39" s="214"/>
      <c r="K39" s="214"/>
      <c r="L39" s="214"/>
      <c r="M39" s="214"/>
      <c r="N39" s="214"/>
      <c r="O39" s="214"/>
      <c r="P39" s="214"/>
    </row>
    <row r="40" spans="1:16" ht="38.25">
      <c r="A40" s="220" t="s">
        <v>1231</v>
      </c>
      <c r="B40" s="220" t="s">
        <v>75</v>
      </c>
      <c r="C40" s="220" t="s">
        <v>236</v>
      </c>
      <c r="D40" s="220" t="s">
        <v>241</v>
      </c>
      <c r="E40" s="220" t="s">
        <v>372</v>
      </c>
      <c r="F40" s="221"/>
      <c r="G40" s="222">
        <v>60</v>
      </c>
      <c r="H40" s="222">
        <v>60</v>
      </c>
      <c r="I40" s="222">
        <v>60</v>
      </c>
      <c r="J40" s="214"/>
      <c r="K40" s="214"/>
      <c r="L40" s="214"/>
      <c r="M40" s="214"/>
      <c r="N40" s="214"/>
      <c r="O40" s="214"/>
      <c r="P40" s="214"/>
    </row>
    <row r="41" spans="1:16" ht="25.5">
      <c r="A41" s="220" t="s">
        <v>836</v>
      </c>
      <c r="B41" s="220" t="s">
        <v>75</v>
      </c>
      <c r="C41" s="220" t="s">
        <v>236</v>
      </c>
      <c r="D41" s="220" t="s">
        <v>241</v>
      </c>
      <c r="E41" s="220" t="s">
        <v>1092</v>
      </c>
      <c r="F41" s="221"/>
      <c r="G41" s="222">
        <v>60</v>
      </c>
      <c r="H41" s="222">
        <v>60</v>
      </c>
      <c r="I41" s="222">
        <v>60</v>
      </c>
      <c r="J41" s="214"/>
      <c r="K41" s="214"/>
      <c r="L41" s="214"/>
      <c r="M41" s="214"/>
      <c r="N41" s="214"/>
      <c r="O41" s="214"/>
      <c r="P41" s="214"/>
    </row>
    <row r="42" spans="1:16" ht="38.25">
      <c r="A42" s="220" t="s">
        <v>830</v>
      </c>
      <c r="B42" s="220" t="s">
        <v>75</v>
      </c>
      <c r="C42" s="220" t="s">
        <v>236</v>
      </c>
      <c r="D42" s="220" t="s">
        <v>241</v>
      </c>
      <c r="E42" s="220" t="s">
        <v>1092</v>
      </c>
      <c r="F42" s="220" t="s">
        <v>315</v>
      </c>
      <c r="G42" s="222">
        <v>60</v>
      </c>
      <c r="H42" s="222">
        <v>60</v>
      </c>
      <c r="I42" s="222">
        <v>60</v>
      </c>
      <c r="J42" s="214"/>
      <c r="K42" s="214"/>
      <c r="L42" s="214"/>
      <c r="M42" s="214"/>
      <c r="N42" s="214"/>
      <c r="O42" s="214"/>
      <c r="P42" s="214"/>
    </row>
    <row r="43" spans="1:16">
      <c r="A43" s="220" t="s">
        <v>545</v>
      </c>
      <c r="B43" s="220" t="s">
        <v>75</v>
      </c>
      <c r="C43" s="220" t="s">
        <v>238</v>
      </c>
      <c r="D43" s="221"/>
      <c r="E43" s="221"/>
      <c r="F43" s="221"/>
      <c r="G43" s="222">
        <v>55896.975299999998</v>
      </c>
      <c r="H43" s="222">
        <v>40776.561000000002</v>
      </c>
      <c r="I43" s="222">
        <v>35776.561000000002</v>
      </c>
      <c r="J43" s="214"/>
      <c r="K43" s="214"/>
      <c r="L43" s="214"/>
      <c r="M43" s="214"/>
      <c r="N43" s="214"/>
      <c r="O43" s="214"/>
      <c r="P43" s="214"/>
    </row>
    <row r="44" spans="1:16">
      <c r="A44" s="220" t="s">
        <v>546</v>
      </c>
      <c r="B44" s="220" t="s">
        <v>75</v>
      </c>
      <c r="C44" s="220" t="s">
        <v>238</v>
      </c>
      <c r="D44" s="220" t="s">
        <v>239</v>
      </c>
      <c r="E44" s="221"/>
      <c r="F44" s="221"/>
      <c r="G44" s="222">
        <v>52415.799299999999</v>
      </c>
      <c r="H44" s="222">
        <v>37295.385000000002</v>
      </c>
      <c r="I44" s="222">
        <v>32295.384999999998</v>
      </c>
      <c r="J44" s="214"/>
      <c r="K44" s="214"/>
      <c r="L44" s="214"/>
      <c r="M44" s="214"/>
      <c r="N44" s="214"/>
      <c r="O44" s="214"/>
      <c r="P44" s="214"/>
    </row>
    <row r="45" spans="1:16" ht="38.25">
      <c r="A45" s="220" t="s">
        <v>535</v>
      </c>
      <c r="B45" s="220" t="s">
        <v>75</v>
      </c>
      <c r="C45" s="220" t="s">
        <v>238</v>
      </c>
      <c r="D45" s="220" t="s">
        <v>239</v>
      </c>
      <c r="E45" s="220" t="s">
        <v>373</v>
      </c>
      <c r="F45" s="221"/>
      <c r="G45" s="222">
        <v>52415.799299999999</v>
      </c>
      <c r="H45" s="222">
        <v>37295.385000000002</v>
      </c>
      <c r="I45" s="222">
        <v>32295.384999999998</v>
      </c>
      <c r="J45" s="214"/>
      <c r="K45" s="214"/>
      <c r="L45" s="214"/>
      <c r="M45" s="214"/>
      <c r="N45" s="214"/>
      <c r="O45" s="214"/>
      <c r="P45" s="214"/>
    </row>
    <row r="46" spans="1:16">
      <c r="A46" s="220" t="s">
        <v>536</v>
      </c>
      <c r="B46" s="220" t="s">
        <v>75</v>
      </c>
      <c r="C46" s="220" t="s">
        <v>238</v>
      </c>
      <c r="D46" s="220" t="s">
        <v>239</v>
      </c>
      <c r="E46" s="220" t="s">
        <v>374</v>
      </c>
      <c r="F46" s="221"/>
      <c r="G46" s="222">
        <v>24204.375899999999</v>
      </c>
      <c r="H46" s="222">
        <v>17282.785</v>
      </c>
      <c r="I46" s="222">
        <v>17282.785</v>
      </c>
      <c r="J46" s="214"/>
      <c r="K46" s="214"/>
      <c r="L46" s="214"/>
      <c r="M46" s="214"/>
      <c r="N46" s="214"/>
      <c r="O46" s="214"/>
      <c r="P46" s="214"/>
    </row>
    <row r="47" spans="1:16" ht="25.5">
      <c r="A47" s="220" t="s">
        <v>838</v>
      </c>
      <c r="B47" s="220" t="s">
        <v>75</v>
      </c>
      <c r="C47" s="220" t="s">
        <v>238</v>
      </c>
      <c r="D47" s="220" t="s">
        <v>239</v>
      </c>
      <c r="E47" s="220" t="s">
        <v>375</v>
      </c>
      <c r="F47" s="221"/>
      <c r="G47" s="222">
        <v>24148.375899999999</v>
      </c>
      <c r="H47" s="222">
        <v>17226.785</v>
      </c>
      <c r="I47" s="222">
        <v>17226.785</v>
      </c>
      <c r="J47" s="214"/>
      <c r="K47" s="214"/>
      <c r="L47" s="214"/>
      <c r="M47" s="214"/>
      <c r="N47" s="214"/>
      <c r="O47" s="214"/>
      <c r="P47" s="214"/>
    </row>
    <row r="48" spans="1:16" ht="25.5">
      <c r="A48" s="220" t="s">
        <v>970</v>
      </c>
      <c r="B48" s="220" t="s">
        <v>75</v>
      </c>
      <c r="C48" s="220" t="s">
        <v>238</v>
      </c>
      <c r="D48" s="220" t="s">
        <v>239</v>
      </c>
      <c r="E48" s="220" t="s">
        <v>963</v>
      </c>
      <c r="F48" s="221"/>
      <c r="G48" s="222">
        <v>2033.5840000000001</v>
      </c>
      <c r="H48" s="222">
        <v>2033.5840000000001</v>
      </c>
      <c r="I48" s="222">
        <v>2033.5840000000001</v>
      </c>
      <c r="J48" s="214"/>
      <c r="K48" s="214"/>
      <c r="L48" s="214"/>
      <c r="M48" s="214"/>
      <c r="N48" s="214"/>
      <c r="O48" s="214"/>
      <c r="P48" s="214"/>
    </row>
    <row r="49" spans="1:16" ht="38.25">
      <c r="A49" s="220" t="s">
        <v>830</v>
      </c>
      <c r="B49" s="220" t="s">
        <v>75</v>
      </c>
      <c r="C49" s="220" t="s">
        <v>238</v>
      </c>
      <c r="D49" s="220" t="s">
        <v>239</v>
      </c>
      <c r="E49" s="220" t="s">
        <v>963</v>
      </c>
      <c r="F49" s="220" t="s">
        <v>315</v>
      </c>
      <c r="G49" s="222">
        <v>2033.5840000000001</v>
      </c>
      <c r="H49" s="222">
        <v>2033.5840000000001</v>
      </c>
      <c r="I49" s="222">
        <v>2033.5840000000001</v>
      </c>
      <c r="J49" s="214"/>
      <c r="K49" s="214"/>
      <c r="L49" s="214"/>
      <c r="M49" s="214"/>
      <c r="N49" s="214"/>
      <c r="O49" s="214"/>
      <c r="P49" s="214"/>
    </row>
    <row r="50" spans="1:16" ht="38.25">
      <c r="A50" s="220" t="s">
        <v>839</v>
      </c>
      <c r="B50" s="220" t="s">
        <v>75</v>
      </c>
      <c r="C50" s="220" t="s">
        <v>238</v>
      </c>
      <c r="D50" s="220" t="s">
        <v>239</v>
      </c>
      <c r="E50" s="220" t="s">
        <v>376</v>
      </c>
      <c r="F50" s="221"/>
      <c r="G50" s="222">
        <v>14641.0599</v>
      </c>
      <c r="H50" s="222">
        <v>14609.601000000001</v>
      </c>
      <c r="I50" s="222">
        <v>14609.601000000001</v>
      </c>
      <c r="J50" s="214"/>
      <c r="K50" s="214"/>
      <c r="L50" s="214"/>
      <c r="M50" s="214"/>
      <c r="N50" s="214"/>
      <c r="O50" s="214"/>
      <c r="P50" s="214"/>
    </row>
    <row r="51" spans="1:16" ht="38.25">
      <c r="A51" s="220" t="s">
        <v>830</v>
      </c>
      <c r="B51" s="220" t="s">
        <v>75</v>
      </c>
      <c r="C51" s="220" t="s">
        <v>238</v>
      </c>
      <c r="D51" s="220" t="s">
        <v>239</v>
      </c>
      <c r="E51" s="220" t="s">
        <v>376</v>
      </c>
      <c r="F51" s="220" t="s">
        <v>315</v>
      </c>
      <c r="G51" s="222">
        <v>14641.0599</v>
      </c>
      <c r="H51" s="222">
        <v>14609.601000000001</v>
      </c>
      <c r="I51" s="222">
        <v>14609.601000000001</v>
      </c>
      <c r="J51" s="214"/>
      <c r="K51" s="214"/>
      <c r="L51" s="214"/>
      <c r="M51" s="214"/>
      <c r="N51" s="214"/>
      <c r="O51" s="214"/>
      <c r="P51" s="214"/>
    </row>
    <row r="52" spans="1:16" ht="51">
      <c r="A52" s="220" t="s">
        <v>840</v>
      </c>
      <c r="B52" s="220" t="s">
        <v>75</v>
      </c>
      <c r="C52" s="220" t="s">
        <v>238</v>
      </c>
      <c r="D52" s="220" t="s">
        <v>239</v>
      </c>
      <c r="E52" s="220" t="s">
        <v>377</v>
      </c>
      <c r="F52" s="221"/>
      <c r="G52" s="222">
        <v>583.6</v>
      </c>
      <c r="H52" s="222">
        <v>583.6</v>
      </c>
      <c r="I52" s="222">
        <v>583.6</v>
      </c>
      <c r="J52" s="214"/>
      <c r="K52" s="214"/>
      <c r="L52" s="214"/>
      <c r="M52" s="214"/>
      <c r="N52" s="214"/>
      <c r="O52" s="214"/>
      <c r="P52" s="214"/>
    </row>
    <row r="53" spans="1:16" ht="38.25">
      <c r="A53" s="220" t="s">
        <v>830</v>
      </c>
      <c r="B53" s="220" t="s">
        <v>75</v>
      </c>
      <c r="C53" s="220" t="s">
        <v>238</v>
      </c>
      <c r="D53" s="220" t="s">
        <v>239</v>
      </c>
      <c r="E53" s="220" t="s">
        <v>377</v>
      </c>
      <c r="F53" s="220" t="s">
        <v>315</v>
      </c>
      <c r="G53" s="222">
        <v>583.6</v>
      </c>
      <c r="H53" s="222">
        <v>583.6</v>
      </c>
      <c r="I53" s="222">
        <v>583.6</v>
      </c>
      <c r="J53" s="214"/>
      <c r="K53" s="214"/>
      <c r="L53" s="214"/>
      <c r="M53" s="214"/>
      <c r="N53" s="214"/>
      <c r="O53" s="214"/>
      <c r="P53" s="214"/>
    </row>
    <row r="54" spans="1:16" ht="25.5">
      <c r="A54" s="220" t="s">
        <v>1382</v>
      </c>
      <c r="B54" s="220" t="s">
        <v>75</v>
      </c>
      <c r="C54" s="220" t="s">
        <v>238</v>
      </c>
      <c r="D54" s="220" t="s">
        <v>239</v>
      </c>
      <c r="E54" s="220" t="s">
        <v>1364</v>
      </c>
      <c r="F54" s="221"/>
      <c r="G54" s="222">
        <v>26.58</v>
      </c>
      <c r="H54" s="222">
        <v>0</v>
      </c>
      <c r="I54" s="222">
        <v>0</v>
      </c>
      <c r="J54" s="214"/>
      <c r="K54" s="214"/>
      <c r="L54" s="214"/>
      <c r="M54" s="214"/>
      <c r="N54" s="214"/>
      <c r="O54" s="214"/>
      <c r="P54" s="214"/>
    </row>
    <row r="55" spans="1:16" ht="38.25">
      <c r="A55" s="220" t="s">
        <v>830</v>
      </c>
      <c r="B55" s="220" t="s">
        <v>75</v>
      </c>
      <c r="C55" s="220" t="s">
        <v>238</v>
      </c>
      <c r="D55" s="220" t="s">
        <v>239</v>
      </c>
      <c r="E55" s="220" t="s">
        <v>1364</v>
      </c>
      <c r="F55" s="220" t="s">
        <v>315</v>
      </c>
      <c r="G55" s="222">
        <v>26.58</v>
      </c>
      <c r="H55" s="222">
        <v>0</v>
      </c>
      <c r="I55" s="222">
        <v>0</v>
      </c>
      <c r="J55" s="214"/>
      <c r="K55" s="214"/>
      <c r="L55" s="214"/>
      <c r="M55" s="214"/>
      <c r="N55" s="214"/>
      <c r="O55" s="214"/>
      <c r="P55" s="214"/>
    </row>
    <row r="56" spans="1:16" ht="63.75">
      <c r="A56" s="220" t="s">
        <v>1232</v>
      </c>
      <c r="B56" s="220" t="s">
        <v>75</v>
      </c>
      <c r="C56" s="220" t="s">
        <v>238</v>
      </c>
      <c r="D56" s="220" t="s">
        <v>239</v>
      </c>
      <c r="E56" s="220" t="s">
        <v>1095</v>
      </c>
      <c r="F56" s="221"/>
      <c r="G56" s="222">
        <v>6863.5519999999997</v>
      </c>
      <c r="H56" s="222">
        <v>0</v>
      </c>
      <c r="I56" s="222">
        <v>0</v>
      </c>
      <c r="J56" s="214"/>
      <c r="K56" s="214"/>
      <c r="L56" s="214"/>
      <c r="M56" s="214"/>
      <c r="N56" s="214"/>
      <c r="O56" s="214"/>
      <c r="P56" s="214"/>
    </row>
    <row r="57" spans="1:16" ht="38.25">
      <c r="A57" s="220" t="s">
        <v>830</v>
      </c>
      <c r="B57" s="220" t="s">
        <v>75</v>
      </c>
      <c r="C57" s="220" t="s">
        <v>238</v>
      </c>
      <c r="D57" s="220" t="s">
        <v>239</v>
      </c>
      <c r="E57" s="220" t="s">
        <v>1095</v>
      </c>
      <c r="F57" s="220" t="s">
        <v>315</v>
      </c>
      <c r="G57" s="222">
        <v>6863.5519999999997</v>
      </c>
      <c r="H57" s="222">
        <v>0</v>
      </c>
      <c r="I57" s="222">
        <v>0</v>
      </c>
      <c r="J57" s="214"/>
      <c r="K57" s="214"/>
      <c r="L57" s="214"/>
      <c r="M57" s="214"/>
      <c r="N57" s="214"/>
      <c r="O57" s="214"/>
      <c r="P57" s="214"/>
    </row>
    <row r="58" spans="1:16" ht="51">
      <c r="A58" s="220" t="s">
        <v>841</v>
      </c>
      <c r="B58" s="220" t="s">
        <v>75</v>
      </c>
      <c r="C58" s="220" t="s">
        <v>238</v>
      </c>
      <c r="D58" s="220" t="s">
        <v>239</v>
      </c>
      <c r="E58" s="220" t="s">
        <v>380</v>
      </c>
      <c r="F58" s="221"/>
      <c r="G58" s="222">
        <v>56</v>
      </c>
      <c r="H58" s="222">
        <v>56</v>
      </c>
      <c r="I58" s="222">
        <v>56</v>
      </c>
      <c r="J58" s="214"/>
      <c r="K58" s="214"/>
      <c r="L58" s="214"/>
      <c r="M58" s="214"/>
      <c r="N58" s="214"/>
      <c r="O58" s="214"/>
      <c r="P58" s="214"/>
    </row>
    <row r="59" spans="1:16" ht="114.75">
      <c r="A59" s="220" t="s">
        <v>842</v>
      </c>
      <c r="B59" s="220" t="s">
        <v>75</v>
      </c>
      <c r="C59" s="220" t="s">
        <v>238</v>
      </c>
      <c r="D59" s="220" t="s">
        <v>239</v>
      </c>
      <c r="E59" s="220" t="s">
        <v>381</v>
      </c>
      <c r="F59" s="221"/>
      <c r="G59" s="222">
        <v>56</v>
      </c>
      <c r="H59" s="222">
        <v>56</v>
      </c>
      <c r="I59" s="222">
        <v>56</v>
      </c>
      <c r="J59" s="214"/>
      <c r="K59" s="214"/>
      <c r="L59" s="214"/>
      <c r="M59" s="214"/>
      <c r="N59" s="214"/>
      <c r="O59" s="214"/>
      <c r="P59" s="214"/>
    </row>
    <row r="60" spans="1:16" ht="38.25">
      <c r="A60" s="220" t="s">
        <v>833</v>
      </c>
      <c r="B60" s="220" t="s">
        <v>75</v>
      </c>
      <c r="C60" s="220" t="s">
        <v>238</v>
      </c>
      <c r="D60" s="220" t="s">
        <v>239</v>
      </c>
      <c r="E60" s="220" t="s">
        <v>381</v>
      </c>
      <c r="F60" s="220" t="s">
        <v>313</v>
      </c>
      <c r="G60" s="222">
        <v>56</v>
      </c>
      <c r="H60" s="222">
        <v>56</v>
      </c>
      <c r="I60" s="222">
        <v>56</v>
      </c>
      <c r="J60" s="214"/>
      <c r="K60" s="214"/>
      <c r="L60" s="214"/>
      <c r="M60" s="214"/>
      <c r="N60" s="214"/>
      <c r="O60" s="214"/>
      <c r="P60" s="214"/>
    </row>
    <row r="61" spans="1:16" ht="25.5">
      <c r="A61" s="220" t="s">
        <v>547</v>
      </c>
      <c r="B61" s="220" t="s">
        <v>75</v>
      </c>
      <c r="C61" s="220" t="s">
        <v>238</v>
      </c>
      <c r="D61" s="220" t="s">
        <v>239</v>
      </c>
      <c r="E61" s="220" t="s">
        <v>382</v>
      </c>
      <c r="F61" s="221"/>
      <c r="G61" s="222">
        <v>28211.4234</v>
      </c>
      <c r="H61" s="222">
        <v>20012.599999999999</v>
      </c>
      <c r="I61" s="222">
        <v>15012.6</v>
      </c>
      <c r="J61" s="214"/>
      <c r="K61" s="214"/>
      <c r="L61" s="214"/>
      <c r="M61" s="214"/>
      <c r="N61" s="214"/>
      <c r="O61" s="214"/>
      <c r="P61" s="214"/>
    </row>
    <row r="62" spans="1:16" ht="38.25">
      <c r="A62" s="220" t="s">
        <v>843</v>
      </c>
      <c r="B62" s="220" t="s">
        <v>75</v>
      </c>
      <c r="C62" s="220" t="s">
        <v>238</v>
      </c>
      <c r="D62" s="220" t="s">
        <v>239</v>
      </c>
      <c r="E62" s="220" t="s">
        <v>383</v>
      </c>
      <c r="F62" s="221"/>
      <c r="G62" s="222">
        <v>28211.4234</v>
      </c>
      <c r="H62" s="222">
        <v>20012.599999999999</v>
      </c>
      <c r="I62" s="222">
        <v>15012.6</v>
      </c>
      <c r="J62" s="214"/>
      <c r="K62" s="214"/>
      <c r="L62" s="214"/>
      <c r="M62" s="214"/>
      <c r="N62" s="214"/>
      <c r="O62" s="214"/>
      <c r="P62" s="214"/>
    </row>
    <row r="63" spans="1:16" ht="25.5">
      <c r="A63" s="220" t="s">
        <v>970</v>
      </c>
      <c r="B63" s="220" t="s">
        <v>75</v>
      </c>
      <c r="C63" s="220" t="s">
        <v>238</v>
      </c>
      <c r="D63" s="220" t="s">
        <v>239</v>
      </c>
      <c r="E63" s="220" t="s">
        <v>965</v>
      </c>
      <c r="F63" s="221"/>
      <c r="G63" s="222">
        <v>2247.9209999999998</v>
      </c>
      <c r="H63" s="222">
        <v>2247.9209999999998</v>
      </c>
      <c r="I63" s="222">
        <v>247.92099999999999</v>
      </c>
      <c r="J63" s="214"/>
      <c r="K63" s="214"/>
      <c r="L63" s="214"/>
      <c r="M63" s="214"/>
      <c r="N63" s="214"/>
      <c r="O63" s="214"/>
      <c r="P63" s="214"/>
    </row>
    <row r="64" spans="1:16" ht="38.25">
      <c r="A64" s="220" t="s">
        <v>830</v>
      </c>
      <c r="B64" s="220" t="s">
        <v>75</v>
      </c>
      <c r="C64" s="220" t="s">
        <v>238</v>
      </c>
      <c r="D64" s="220" t="s">
        <v>239</v>
      </c>
      <c r="E64" s="220" t="s">
        <v>965</v>
      </c>
      <c r="F64" s="220" t="s">
        <v>315</v>
      </c>
      <c r="G64" s="222">
        <v>2247.9209999999998</v>
      </c>
      <c r="H64" s="222">
        <v>2247.9209999999998</v>
      </c>
      <c r="I64" s="222">
        <v>247.92099999999999</v>
      </c>
      <c r="J64" s="214"/>
      <c r="K64" s="214"/>
      <c r="L64" s="214"/>
      <c r="M64" s="214"/>
      <c r="N64" s="214"/>
      <c r="O64" s="214"/>
      <c r="P64" s="214"/>
    </row>
    <row r="65" spans="1:16" ht="63.75">
      <c r="A65" s="220" t="s">
        <v>844</v>
      </c>
      <c r="B65" s="220" t="s">
        <v>75</v>
      </c>
      <c r="C65" s="220" t="s">
        <v>238</v>
      </c>
      <c r="D65" s="220" t="s">
        <v>239</v>
      </c>
      <c r="E65" s="220" t="s">
        <v>384</v>
      </c>
      <c r="F65" s="221"/>
      <c r="G65" s="222">
        <v>17646.778399999999</v>
      </c>
      <c r="H65" s="222">
        <v>17764.679</v>
      </c>
      <c r="I65" s="222">
        <v>14764.679</v>
      </c>
      <c r="J65" s="214"/>
      <c r="K65" s="214"/>
      <c r="L65" s="214"/>
      <c r="M65" s="214"/>
      <c r="N65" s="214"/>
      <c r="O65" s="214"/>
      <c r="P65" s="214"/>
    </row>
    <row r="66" spans="1:16" ht="38.25">
      <c r="A66" s="220" t="s">
        <v>830</v>
      </c>
      <c r="B66" s="220" t="s">
        <v>75</v>
      </c>
      <c r="C66" s="220" t="s">
        <v>238</v>
      </c>
      <c r="D66" s="220" t="s">
        <v>239</v>
      </c>
      <c r="E66" s="220" t="s">
        <v>384</v>
      </c>
      <c r="F66" s="220" t="s">
        <v>315</v>
      </c>
      <c r="G66" s="222">
        <v>17646.778399999999</v>
      </c>
      <c r="H66" s="222">
        <v>17764.679</v>
      </c>
      <c r="I66" s="222">
        <v>14764.679</v>
      </c>
      <c r="J66" s="214"/>
      <c r="K66" s="214"/>
      <c r="L66" s="214"/>
      <c r="M66" s="214"/>
      <c r="N66" s="214"/>
      <c r="O66" s="214"/>
      <c r="P66" s="214"/>
    </row>
    <row r="67" spans="1:16" ht="25.5">
      <c r="A67" s="220" t="s">
        <v>1355</v>
      </c>
      <c r="B67" s="220" t="s">
        <v>75</v>
      </c>
      <c r="C67" s="220" t="s">
        <v>238</v>
      </c>
      <c r="D67" s="220" t="s">
        <v>239</v>
      </c>
      <c r="E67" s="220" t="s">
        <v>1344</v>
      </c>
      <c r="F67" s="221"/>
      <c r="G67" s="222">
        <v>640.70000000000005</v>
      </c>
      <c r="H67" s="222">
        <v>0</v>
      </c>
      <c r="I67" s="222">
        <v>0</v>
      </c>
      <c r="J67" s="214"/>
      <c r="K67" s="214"/>
      <c r="L67" s="214"/>
      <c r="M67" s="214"/>
      <c r="N67" s="214"/>
      <c r="O67" s="214"/>
      <c r="P67" s="214"/>
    </row>
    <row r="68" spans="1:16" ht="38.25">
      <c r="A68" s="220" t="s">
        <v>833</v>
      </c>
      <c r="B68" s="220" t="s">
        <v>75</v>
      </c>
      <c r="C68" s="220" t="s">
        <v>238</v>
      </c>
      <c r="D68" s="220" t="s">
        <v>239</v>
      </c>
      <c r="E68" s="220" t="s">
        <v>1344</v>
      </c>
      <c r="F68" s="220" t="s">
        <v>313</v>
      </c>
      <c r="G68" s="222">
        <v>610.70000000000005</v>
      </c>
      <c r="H68" s="222">
        <v>0</v>
      </c>
      <c r="I68" s="222">
        <v>0</v>
      </c>
      <c r="J68" s="214"/>
      <c r="K68" s="214"/>
      <c r="L68" s="214"/>
      <c r="M68" s="214"/>
      <c r="N68" s="214"/>
      <c r="O68" s="214"/>
      <c r="P68" s="214"/>
    </row>
    <row r="69" spans="1:16" ht="25.5">
      <c r="A69" s="220" t="s">
        <v>845</v>
      </c>
      <c r="B69" s="220" t="s">
        <v>75</v>
      </c>
      <c r="C69" s="220" t="s">
        <v>238</v>
      </c>
      <c r="D69" s="220" t="s">
        <v>239</v>
      </c>
      <c r="E69" s="220" t="s">
        <v>1344</v>
      </c>
      <c r="F69" s="220" t="s">
        <v>318</v>
      </c>
      <c r="G69" s="222">
        <v>30</v>
      </c>
      <c r="H69" s="222">
        <v>0</v>
      </c>
      <c r="I69" s="222">
        <v>0</v>
      </c>
      <c r="J69" s="214"/>
      <c r="K69" s="214"/>
      <c r="L69" s="214"/>
      <c r="M69" s="214"/>
      <c r="N69" s="214"/>
      <c r="O69" s="214"/>
      <c r="P69" s="214"/>
    </row>
    <row r="70" spans="1:16" ht="63.75">
      <c r="A70" s="220" t="s">
        <v>1232</v>
      </c>
      <c r="B70" s="220" t="s">
        <v>75</v>
      </c>
      <c r="C70" s="220" t="s">
        <v>238</v>
      </c>
      <c r="D70" s="220" t="s">
        <v>239</v>
      </c>
      <c r="E70" s="220" t="s">
        <v>1096</v>
      </c>
      <c r="F70" s="221"/>
      <c r="G70" s="222">
        <v>7676.0240000000003</v>
      </c>
      <c r="H70" s="222">
        <v>0</v>
      </c>
      <c r="I70" s="222">
        <v>0</v>
      </c>
      <c r="J70" s="214"/>
      <c r="K70" s="214"/>
      <c r="L70" s="214"/>
      <c r="M70" s="214"/>
      <c r="N70" s="214"/>
      <c r="O70" s="214"/>
      <c r="P70" s="214"/>
    </row>
    <row r="71" spans="1:16" ht="38.25">
      <c r="A71" s="220" t="s">
        <v>830</v>
      </c>
      <c r="B71" s="220" t="s">
        <v>75</v>
      </c>
      <c r="C71" s="220" t="s">
        <v>238</v>
      </c>
      <c r="D71" s="220" t="s">
        <v>239</v>
      </c>
      <c r="E71" s="220" t="s">
        <v>1096</v>
      </c>
      <c r="F71" s="220" t="s">
        <v>315</v>
      </c>
      <c r="G71" s="222">
        <v>7676.0240000000003</v>
      </c>
      <c r="H71" s="222">
        <v>0</v>
      </c>
      <c r="I71" s="222">
        <v>0</v>
      </c>
      <c r="J71" s="214"/>
      <c r="K71" s="214"/>
      <c r="L71" s="214"/>
      <c r="M71" s="214"/>
      <c r="N71" s="214"/>
      <c r="O71" s="214"/>
      <c r="P71" s="214"/>
    </row>
    <row r="72" spans="1:16" ht="25.5">
      <c r="A72" s="220" t="s">
        <v>548</v>
      </c>
      <c r="B72" s="220" t="s">
        <v>75</v>
      </c>
      <c r="C72" s="220" t="s">
        <v>238</v>
      </c>
      <c r="D72" s="220" t="s">
        <v>234</v>
      </c>
      <c r="E72" s="221"/>
      <c r="F72" s="221"/>
      <c r="G72" s="222">
        <v>3481.1759999999999</v>
      </c>
      <c r="H72" s="222">
        <v>3481.1759999999999</v>
      </c>
      <c r="I72" s="222">
        <v>3481.1759999999999</v>
      </c>
      <c r="J72" s="214"/>
      <c r="K72" s="214"/>
      <c r="L72" s="214"/>
      <c r="M72" s="214"/>
      <c r="N72" s="214"/>
      <c r="O72" s="214"/>
      <c r="P72" s="214"/>
    </row>
    <row r="73" spans="1:16" ht="38.25">
      <c r="A73" s="220" t="s">
        <v>535</v>
      </c>
      <c r="B73" s="220" t="s">
        <v>75</v>
      </c>
      <c r="C73" s="220" t="s">
        <v>238</v>
      </c>
      <c r="D73" s="220" t="s">
        <v>234</v>
      </c>
      <c r="E73" s="220" t="s">
        <v>373</v>
      </c>
      <c r="F73" s="221"/>
      <c r="G73" s="222">
        <v>3481.1759999999999</v>
      </c>
      <c r="H73" s="222">
        <v>3481.1759999999999</v>
      </c>
      <c r="I73" s="222">
        <v>3481.1759999999999</v>
      </c>
      <c r="J73" s="214"/>
      <c r="K73" s="214"/>
      <c r="L73" s="214"/>
      <c r="M73" s="214"/>
      <c r="N73" s="214"/>
      <c r="O73" s="214"/>
      <c r="P73" s="214"/>
    </row>
    <row r="74" spans="1:16" ht="51">
      <c r="A74" s="220" t="s">
        <v>1233</v>
      </c>
      <c r="B74" s="220" t="s">
        <v>75</v>
      </c>
      <c r="C74" s="220" t="s">
        <v>238</v>
      </c>
      <c r="D74" s="220" t="s">
        <v>234</v>
      </c>
      <c r="E74" s="220" t="s">
        <v>1098</v>
      </c>
      <c r="F74" s="221"/>
      <c r="G74" s="222">
        <v>3481.1759999999999</v>
      </c>
      <c r="H74" s="222">
        <v>3481.1759999999999</v>
      </c>
      <c r="I74" s="222">
        <v>3481.1759999999999</v>
      </c>
      <c r="J74" s="214"/>
      <c r="K74" s="214"/>
      <c r="L74" s="214"/>
      <c r="M74" s="214"/>
      <c r="N74" s="214"/>
      <c r="O74" s="214"/>
      <c r="P74" s="214"/>
    </row>
    <row r="75" spans="1:16" ht="51">
      <c r="A75" s="220" t="s">
        <v>1234</v>
      </c>
      <c r="B75" s="220" t="s">
        <v>75</v>
      </c>
      <c r="C75" s="220" t="s">
        <v>238</v>
      </c>
      <c r="D75" s="220" t="s">
        <v>234</v>
      </c>
      <c r="E75" s="220" t="s">
        <v>1099</v>
      </c>
      <c r="F75" s="221"/>
      <c r="G75" s="222">
        <v>3481.1759999999999</v>
      </c>
      <c r="H75" s="222">
        <v>3481.1759999999999</v>
      </c>
      <c r="I75" s="222">
        <v>3481.1759999999999</v>
      </c>
      <c r="J75" s="214"/>
      <c r="K75" s="214"/>
      <c r="L75" s="214"/>
      <c r="M75" s="214"/>
      <c r="N75" s="214"/>
      <c r="O75" s="214"/>
      <c r="P75" s="214"/>
    </row>
    <row r="76" spans="1:16" ht="51">
      <c r="A76" s="220" t="s">
        <v>1235</v>
      </c>
      <c r="B76" s="220" t="s">
        <v>75</v>
      </c>
      <c r="C76" s="220" t="s">
        <v>238</v>
      </c>
      <c r="D76" s="220" t="s">
        <v>234</v>
      </c>
      <c r="E76" s="220" t="s">
        <v>1100</v>
      </c>
      <c r="F76" s="221"/>
      <c r="G76" s="222">
        <v>3451.1759999999999</v>
      </c>
      <c r="H76" s="222">
        <v>3451.1759999999999</v>
      </c>
      <c r="I76" s="222">
        <v>3451.1759999999999</v>
      </c>
      <c r="J76" s="214"/>
      <c r="K76" s="214"/>
      <c r="L76" s="214"/>
      <c r="M76" s="214"/>
      <c r="N76" s="214"/>
      <c r="O76" s="214"/>
      <c r="P76" s="214"/>
    </row>
    <row r="77" spans="1:16" ht="76.5">
      <c r="A77" s="220" t="s">
        <v>848</v>
      </c>
      <c r="B77" s="220" t="s">
        <v>75</v>
      </c>
      <c r="C77" s="220" t="s">
        <v>238</v>
      </c>
      <c r="D77" s="220" t="s">
        <v>234</v>
      </c>
      <c r="E77" s="220" t="s">
        <v>1100</v>
      </c>
      <c r="F77" s="220" t="s">
        <v>312</v>
      </c>
      <c r="G77" s="222">
        <v>2982.6689999999999</v>
      </c>
      <c r="H77" s="222">
        <v>2982.6689999999999</v>
      </c>
      <c r="I77" s="222">
        <v>2982.6689999999999</v>
      </c>
      <c r="J77" s="214"/>
      <c r="K77" s="214"/>
      <c r="L77" s="214"/>
      <c r="M77" s="214"/>
      <c r="N77" s="214"/>
      <c r="O77" s="214"/>
      <c r="P77" s="214"/>
    </row>
    <row r="78" spans="1:16" ht="38.25">
      <c r="A78" s="220" t="s">
        <v>833</v>
      </c>
      <c r="B78" s="220" t="s">
        <v>75</v>
      </c>
      <c r="C78" s="220" t="s">
        <v>238</v>
      </c>
      <c r="D78" s="220" t="s">
        <v>234</v>
      </c>
      <c r="E78" s="220" t="s">
        <v>1100</v>
      </c>
      <c r="F78" s="220" t="s">
        <v>313</v>
      </c>
      <c r="G78" s="222">
        <v>463.15699999999998</v>
      </c>
      <c r="H78" s="222">
        <v>463.15699999999998</v>
      </c>
      <c r="I78" s="222">
        <v>463.15699999999998</v>
      </c>
      <c r="J78" s="214"/>
      <c r="K78" s="214"/>
      <c r="L78" s="214"/>
      <c r="M78" s="214"/>
      <c r="N78" s="214"/>
      <c r="O78" s="214"/>
      <c r="P78" s="214"/>
    </row>
    <row r="79" spans="1:16">
      <c r="A79" s="220" t="s">
        <v>849</v>
      </c>
      <c r="B79" s="220" t="s">
        <v>75</v>
      </c>
      <c r="C79" s="220" t="s">
        <v>238</v>
      </c>
      <c r="D79" s="220" t="s">
        <v>234</v>
      </c>
      <c r="E79" s="220" t="s">
        <v>1100</v>
      </c>
      <c r="F79" s="220" t="s">
        <v>314</v>
      </c>
      <c r="G79" s="222">
        <v>5.35</v>
      </c>
      <c r="H79" s="222">
        <v>5.35</v>
      </c>
      <c r="I79" s="222">
        <v>5.35</v>
      </c>
      <c r="J79" s="214"/>
      <c r="K79" s="214"/>
      <c r="L79" s="214"/>
      <c r="M79" s="214"/>
      <c r="N79" s="214"/>
      <c r="O79" s="214"/>
      <c r="P79" s="214"/>
    </row>
    <row r="80" spans="1:16" ht="76.5">
      <c r="A80" s="220" t="s">
        <v>1236</v>
      </c>
      <c r="B80" s="220" t="s">
        <v>75</v>
      </c>
      <c r="C80" s="220" t="s">
        <v>238</v>
      </c>
      <c r="D80" s="220" t="s">
        <v>234</v>
      </c>
      <c r="E80" s="220" t="s">
        <v>1101</v>
      </c>
      <c r="F80" s="221"/>
      <c r="G80" s="222">
        <v>30</v>
      </c>
      <c r="H80" s="222">
        <v>30</v>
      </c>
      <c r="I80" s="222">
        <v>30</v>
      </c>
      <c r="J80" s="214"/>
      <c r="K80" s="214"/>
      <c r="L80" s="214"/>
      <c r="M80" s="214"/>
      <c r="N80" s="214"/>
      <c r="O80" s="214"/>
      <c r="P80" s="214"/>
    </row>
    <row r="81" spans="1:16" ht="38.25">
      <c r="A81" s="220" t="s">
        <v>833</v>
      </c>
      <c r="B81" s="220" t="s">
        <v>75</v>
      </c>
      <c r="C81" s="220" t="s">
        <v>238</v>
      </c>
      <c r="D81" s="220" t="s">
        <v>234</v>
      </c>
      <c r="E81" s="220" t="s">
        <v>1101</v>
      </c>
      <c r="F81" s="220" t="s">
        <v>313</v>
      </c>
      <c r="G81" s="222">
        <v>30</v>
      </c>
      <c r="H81" s="222">
        <v>30</v>
      </c>
      <c r="I81" s="222">
        <v>30</v>
      </c>
      <c r="J81" s="214"/>
      <c r="K81" s="214"/>
      <c r="L81" s="214"/>
      <c r="M81" s="214"/>
      <c r="N81" s="214"/>
      <c r="O81" s="214"/>
      <c r="P81" s="214"/>
    </row>
    <row r="82" spans="1:16" ht="25.5">
      <c r="A82" s="220" t="s">
        <v>42</v>
      </c>
      <c r="B82" s="220" t="s">
        <v>73</v>
      </c>
      <c r="C82" s="221"/>
      <c r="D82" s="221"/>
      <c r="E82" s="221"/>
      <c r="F82" s="221"/>
      <c r="G82" s="222">
        <v>700015.13561</v>
      </c>
      <c r="H82" s="222">
        <v>709443.70391000004</v>
      </c>
      <c r="I82" s="222">
        <v>724044.59190999996</v>
      </c>
      <c r="J82" s="214"/>
      <c r="K82" s="214"/>
      <c r="L82" s="214"/>
      <c r="M82" s="214"/>
      <c r="N82" s="214"/>
      <c r="O82" s="214"/>
      <c r="P82" s="214"/>
    </row>
    <row r="83" spans="1:16">
      <c r="A83" s="220" t="s">
        <v>540</v>
      </c>
      <c r="B83" s="220" t="s">
        <v>73</v>
      </c>
      <c r="C83" s="220" t="s">
        <v>236</v>
      </c>
      <c r="D83" s="221"/>
      <c r="E83" s="221"/>
      <c r="F83" s="221"/>
      <c r="G83" s="222">
        <v>695461.03336999996</v>
      </c>
      <c r="H83" s="222">
        <v>704761.1973</v>
      </c>
      <c r="I83" s="222">
        <v>719362.08530000004</v>
      </c>
      <c r="J83" s="214"/>
      <c r="K83" s="214"/>
      <c r="L83" s="214"/>
      <c r="M83" s="214"/>
      <c r="N83" s="214"/>
      <c r="O83" s="214"/>
      <c r="P83" s="214"/>
    </row>
    <row r="84" spans="1:16">
      <c r="A84" s="220" t="s">
        <v>550</v>
      </c>
      <c r="B84" s="220" t="s">
        <v>73</v>
      </c>
      <c r="C84" s="220" t="s">
        <v>236</v>
      </c>
      <c r="D84" s="220" t="s">
        <v>239</v>
      </c>
      <c r="E84" s="221"/>
      <c r="F84" s="221"/>
      <c r="G84" s="222">
        <v>366232.08393999998</v>
      </c>
      <c r="H84" s="222">
        <v>371894.18540000002</v>
      </c>
      <c r="I84" s="222">
        <v>379195.95775</v>
      </c>
      <c r="J84" s="214"/>
      <c r="K84" s="214"/>
      <c r="L84" s="214"/>
      <c r="M84" s="214"/>
      <c r="N84" s="214"/>
      <c r="O84" s="214"/>
      <c r="P84" s="214"/>
    </row>
    <row r="85" spans="1:16" ht="38.25">
      <c r="A85" s="220" t="s">
        <v>542</v>
      </c>
      <c r="B85" s="220" t="s">
        <v>73</v>
      </c>
      <c r="C85" s="220" t="s">
        <v>236</v>
      </c>
      <c r="D85" s="220" t="s">
        <v>239</v>
      </c>
      <c r="E85" s="220" t="s">
        <v>351</v>
      </c>
      <c r="F85" s="221"/>
      <c r="G85" s="222">
        <v>366064.73664999998</v>
      </c>
      <c r="H85" s="222">
        <v>371894.18540000002</v>
      </c>
      <c r="I85" s="222">
        <v>379195.95775</v>
      </c>
      <c r="J85" s="214"/>
      <c r="K85" s="214"/>
      <c r="L85" s="214"/>
      <c r="M85" s="214"/>
      <c r="N85" s="214"/>
      <c r="O85" s="214"/>
      <c r="P85" s="214"/>
    </row>
    <row r="86" spans="1:16" ht="38.25">
      <c r="A86" s="220" t="s">
        <v>551</v>
      </c>
      <c r="B86" s="220" t="s">
        <v>73</v>
      </c>
      <c r="C86" s="220" t="s">
        <v>236</v>
      </c>
      <c r="D86" s="220" t="s">
        <v>239</v>
      </c>
      <c r="E86" s="220" t="s">
        <v>356</v>
      </c>
      <c r="F86" s="221"/>
      <c r="G86" s="222">
        <v>363967.45565000002</v>
      </c>
      <c r="H86" s="222">
        <v>371157.14539999998</v>
      </c>
      <c r="I86" s="222">
        <v>378308.91775000002</v>
      </c>
      <c r="J86" s="214"/>
      <c r="K86" s="214"/>
      <c r="L86" s="214"/>
      <c r="M86" s="214"/>
      <c r="N86" s="214"/>
      <c r="O86" s="214"/>
      <c r="P86" s="214"/>
    </row>
    <row r="87" spans="1:16" ht="25.5">
      <c r="A87" s="220" t="s">
        <v>850</v>
      </c>
      <c r="B87" s="220" t="s">
        <v>73</v>
      </c>
      <c r="C87" s="220" t="s">
        <v>236</v>
      </c>
      <c r="D87" s="220" t="s">
        <v>239</v>
      </c>
      <c r="E87" s="220" t="s">
        <v>357</v>
      </c>
      <c r="F87" s="221"/>
      <c r="G87" s="222">
        <v>363967.45565000002</v>
      </c>
      <c r="H87" s="222">
        <v>371157.14539999998</v>
      </c>
      <c r="I87" s="222">
        <v>378308.91775000002</v>
      </c>
      <c r="J87" s="214"/>
      <c r="K87" s="214"/>
      <c r="L87" s="214"/>
      <c r="M87" s="214"/>
      <c r="N87" s="214"/>
      <c r="O87" s="214"/>
      <c r="P87" s="214"/>
    </row>
    <row r="88" spans="1:16" ht="25.5">
      <c r="A88" s="220" t="s">
        <v>970</v>
      </c>
      <c r="B88" s="220" t="s">
        <v>73</v>
      </c>
      <c r="C88" s="220" t="s">
        <v>236</v>
      </c>
      <c r="D88" s="220" t="s">
        <v>239</v>
      </c>
      <c r="E88" s="220" t="s">
        <v>958</v>
      </c>
      <c r="F88" s="221"/>
      <c r="G88" s="222">
        <v>55532.717649999999</v>
      </c>
      <c r="H88" s="222">
        <v>55532.717649999999</v>
      </c>
      <c r="I88" s="222">
        <v>51532.716999999997</v>
      </c>
      <c r="J88" s="214"/>
      <c r="K88" s="214"/>
      <c r="L88" s="214"/>
      <c r="M88" s="214"/>
      <c r="N88" s="214"/>
      <c r="O88" s="214"/>
      <c r="P88" s="214"/>
    </row>
    <row r="89" spans="1:16" ht="38.25">
      <c r="A89" s="220" t="s">
        <v>830</v>
      </c>
      <c r="B89" s="220" t="s">
        <v>73</v>
      </c>
      <c r="C89" s="220" t="s">
        <v>236</v>
      </c>
      <c r="D89" s="220" t="s">
        <v>239</v>
      </c>
      <c r="E89" s="220" t="s">
        <v>958</v>
      </c>
      <c r="F89" s="220" t="s">
        <v>315</v>
      </c>
      <c r="G89" s="222">
        <v>55532.717649999999</v>
      </c>
      <c r="H89" s="222">
        <v>55532.717649999999</v>
      </c>
      <c r="I89" s="222">
        <v>51532.716999999997</v>
      </c>
      <c r="J89" s="214"/>
      <c r="K89" s="214"/>
      <c r="L89" s="214"/>
      <c r="M89" s="214"/>
      <c r="N89" s="214"/>
      <c r="O89" s="214"/>
      <c r="P89" s="214"/>
    </row>
    <row r="90" spans="1:16" ht="51">
      <c r="A90" s="220" t="s">
        <v>851</v>
      </c>
      <c r="B90" s="220" t="s">
        <v>73</v>
      </c>
      <c r="C90" s="220" t="s">
        <v>236</v>
      </c>
      <c r="D90" s="220" t="s">
        <v>239</v>
      </c>
      <c r="E90" s="220" t="s">
        <v>358</v>
      </c>
      <c r="F90" s="221"/>
      <c r="G90" s="222">
        <v>80634.224000000002</v>
      </c>
      <c r="H90" s="222">
        <v>79878.279750000002</v>
      </c>
      <c r="I90" s="222">
        <v>79878.279750000002</v>
      </c>
      <c r="J90" s="214"/>
      <c r="K90" s="214"/>
      <c r="L90" s="214"/>
      <c r="M90" s="214"/>
      <c r="N90" s="214"/>
      <c r="O90" s="214"/>
      <c r="P90" s="214"/>
    </row>
    <row r="91" spans="1:16" ht="38.25">
      <c r="A91" s="220" t="s">
        <v>830</v>
      </c>
      <c r="B91" s="220" t="s">
        <v>73</v>
      </c>
      <c r="C91" s="220" t="s">
        <v>236</v>
      </c>
      <c r="D91" s="220" t="s">
        <v>239</v>
      </c>
      <c r="E91" s="220" t="s">
        <v>358</v>
      </c>
      <c r="F91" s="220" t="s">
        <v>315</v>
      </c>
      <c r="G91" s="222">
        <v>80634.224000000002</v>
      </c>
      <c r="H91" s="222">
        <v>79878.279750000002</v>
      </c>
      <c r="I91" s="222">
        <v>79878.279750000002</v>
      </c>
      <c r="J91" s="214"/>
      <c r="K91" s="214"/>
      <c r="L91" s="214"/>
      <c r="M91" s="214"/>
      <c r="N91" s="214"/>
      <c r="O91" s="214"/>
      <c r="P91" s="214"/>
    </row>
    <row r="92" spans="1:16" ht="38.25">
      <c r="A92" s="220" t="s">
        <v>971</v>
      </c>
      <c r="B92" s="220" t="s">
        <v>73</v>
      </c>
      <c r="C92" s="220" t="s">
        <v>236</v>
      </c>
      <c r="D92" s="220" t="s">
        <v>239</v>
      </c>
      <c r="E92" s="220" t="s">
        <v>960</v>
      </c>
      <c r="F92" s="221"/>
      <c r="G92" s="222">
        <v>1053.3119999999999</v>
      </c>
      <c r="H92" s="222">
        <v>1053.3119999999999</v>
      </c>
      <c r="I92" s="222">
        <v>1053.3119999999999</v>
      </c>
      <c r="J92" s="214"/>
      <c r="K92" s="214"/>
      <c r="L92" s="214"/>
      <c r="M92" s="214"/>
      <c r="N92" s="214"/>
      <c r="O92" s="214"/>
      <c r="P92" s="214"/>
    </row>
    <row r="93" spans="1:16" ht="38.25">
      <c r="A93" s="220" t="s">
        <v>830</v>
      </c>
      <c r="B93" s="220" t="s">
        <v>73</v>
      </c>
      <c r="C93" s="220" t="s">
        <v>236</v>
      </c>
      <c r="D93" s="220" t="s">
        <v>239</v>
      </c>
      <c r="E93" s="220" t="s">
        <v>960</v>
      </c>
      <c r="F93" s="220" t="s">
        <v>315</v>
      </c>
      <c r="G93" s="222">
        <v>1053.3119999999999</v>
      </c>
      <c r="H93" s="222">
        <v>1053.3119999999999</v>
      </c>
      <c r="I93" s="222">
        <v>1053.3119999999999</v>
      </c>
      <c r="J93" s="214"/>
      <c r="K93" s="214"/>
      <c r="L93" s="214"/>
      <c r="M93" s="214"/>
      <c r="N93" s="214"/>
      <c r="O93" s="214"/>
      <c r="P93" s="214"/>
    </row>
    <row r="94" spans="1:16" ht="153">
      <c r="A94" s="220" t="s">
        <v>852</v>
      </c>
      <c r="B94" s="220" t="s">
        <v>73</v>
      </c>
      <c r="C94" s="220" t="s">
        <v>236</v>
      </c>
      <c r="D94" s="220" t="s">
        <v>239</v>
      </c>
      <c r="E94" s="220" t="s">
        <v>359</v>
      </c>
      <c r="F94" s="221"/>
      <c r="G94" s="222">
        <v>2188.29</v>
      </c>
      <c r="H94" s="222">
        <v>2188.29</v>
      </c>
      <c r="I94" s="222">
        <v>2188.29</v>
      </c>
      <c r="J94" s="214"/>
      <c r="K94" s="214"/>
      <c r="L94" s="214"/>
      <c r="M94" s="214"/>
      <c r="N94" s="214"/>
      <c r="O94" s="214"/>
      <c r="P94" s="214"/>
    </row>
    <row r="95" spans="1:16" ht="38.25">
      <c r="A95" s="220" t="s">
        <v>830</v>
      </c>
      <c r="B95" s="220" t="s">
        <v>73</v>
      </c>
      <c r="C95" s="220" t="s">
        <v>236</v>
      </c>
      <c r="D95" s="220" t="s">
        <v>239</v>
      </c>
      <c r="E95" s="220" t="s">
        <v>359</v>
      </c>
      <c r="F95" s="220" t="s">
        <v>315</v>
      </c>
      <c r="G95" s="222">
        <v>2188.29</v>
      </c>
      <c r="H95" s="222">
        <v>2188.29</v>
      </c>
      <c r="I95" s="222">
        <v>2188.29</v>
      </c>
      <c r="J95" s="214"/>
      <c r="K95" s="214"/>
      <c r="L95" s="214"/>
      <c r="M95" s="214"/>
      <c r="N95" s="214"/>
      <c r="O95" s="214"/>
      <c r="P95" s="214"/>
    </row>
    <row r="96" spans="1:16" ht="191.25">
      <c r="A96" s="220" t="s">
        <v>989</v>
      </c>
      <c r="B96" s="220" t="s">
        <v>73</v>
      </c>
      <c r="C96" s="220" t="s">
        <v>236</v>
      </c>
      <c r="D96" s="220" t="s">
        <v>239</v>
      </c>
      <c r="E96" s="220" t="s">
        <v>360</v>
      </c>
      <c r="F96" s="221"/>
      <c r="G96" s="222">
        <v>224558.91200000001</v>
      </c>
      <c r="H96" s="222">
        <v>232504.546</v>
      </c>
      <c r="I96" s="222">
        <v>243656.31899999999</v>
      </c>
      <c r="J96" s="214"/>
      <c r="K96" s="214"/>
      <c r="L96" s="214"/>
      <c r="M96" s="214"/>
      <c r="N96" s="214"/>
      <c r="O96" s="214"/>
      <c r="P96" s="214"/>
    </row>
    <row r="97" spans="1:16" ht="38.25">
      <c r="A97" s="220" t="s">
        <v>830</v>
      </c>
      <c r="B97" s="220" t="s">
        <v>73</v>
      </c>
      <c r="C97" s="220" t="s">
        <v>236</v>
      </c>
      <c r="D97" s="220" t="s">
        <v>239</v>
      </c>
      <c r="E97" s="220" t="s">
        <v>360</v>
      </c>
      <c r="F97" s="220" t="s">
        <v>315</v>
      </c>
      <c r="G97" s="222">
        <v>224558.91200000001</v>
      </c>
      <c r="H97" s="222">
        <v>232504.546</v>
      </c>
      <c r="I97" s="222">
        <v>243656.31899999999</v>
      </c>
      <c r="J97" s="214"/>
      <c r="K97" s="214"/>
      <c r="L97" s="214"/>
      <c r="M97" s="214"/>
      <c r="N97" s="214"/>
      <c r="O97" s="214"/>
      <c r="P97" s="214"/>
    </row>
    <row r="98" spans="1:16" ht="38.25">
      <c r="A98" s="220" t="s">
        <v>1230</v>
      </c>
      <c r="B98" s="220" t="s">
        <v>73</v>
      </c>
      <c r="C98" s="220" t="s">
        <v>236</v>
      </c>
      <c r="D98" s="220" t="s">
        <v>239</v>
      </c>
      <c r="E98" s="220" t="s">
        <v>369</v>
      </c>
      <c r="F98" s="221"/>
      <c r="G98" s="222">
        <v>2097.2809999999999</v>
      </c>
      <c r="H98" s="222">
        <v>737.04</v>
      </c>
      <c r="I98" s="222">
        <v>887.04</v>
      </c>
      <c r="J98" s="214"/>
      <c r="K98" s="214"/>
      <c r="L98" s="214"/>
      <c r="M98" s="214"/>
      <c r="N98" s="214"/>
      <c r="O98" s="214"/>
      <c r="P98" s="214"/>
    </row>
    <row r="99" spans="1:16" ht="25.5">
      <c r="A99" s="220" t="s">
        <v>1237</v>
      </c>
      <c r="B99" s="220" t="s">
        <v>73</v>
      </c>
      <c r="C99" s="220" t="s">
        <v>236</v>
      </c>
      <c r="D99" s="220" t="s">
        <v>239</v>
      </c>
      <c r="E99" s="220" t="s">
        <v>370</v>
      </c>
      <c r="F99" s="221"/>
      <c r="G99" s="222">
        <v>2097.2809999999999</v>
      </c>
      <c r="H99" s="222">
        <v>737.04</v>
      </c>
      <c r="I99" s="222">
        <v>887.04</v>
      </c>
      <c r="J99" s="214"/>
      <c r="K99" s="214"/>
      <c r="L99" s="214"/>
      <c r="M99" s="214"/>
      <c r="N99" s="214"/>
      <c r="O99" s="214"/>
      <c r="P99" s="214"/>
    </row>
    <row r="100" spans="1:16" ht="38.25">
      <c r="A100" s="220" t="s">
        <v>1238</v>
      </c>
      <c r="B100" s="220" t="s">
        <v>73</v>
      </c>
      <c r="C100" s="220" t="s">
        <v>236</v>
      </c>
      <c r="D100" s="220" t="s">
        <v>239</v>
      </c>
      <c r="E100" s="220" t="s">
        <v>371</v>
      </c>
      <c r="F100" s="221"/>
      <c r="G100" s="222">
        <v>2097.2809999999999</v>
      </c>
      <c r="H100" s="222">
        <v>737.04</v>
      </c>
      <c r="I100" s="222">
        <v>887.04</v>
      </c>
      <c r="J100" s="214"/>
      <c r="K100" s="214"/>
      <c r="L100" s="214"/>
      <c r="M100" s="214"/>
      <c r="N100" s="214"/>
      <c r="O100" s="214"/>
      <c r="P100" s="214"/>
    </row>
    <row r="101" spans="1:16" ht="38.25">
      <c r="A101" s="220" t="s">
        <v>830</v>
      </c>
      <c r="B101" s="220" t="s">
        <v>73</v>
      </c>
      <c r="C101" s="220" t="s">
        <v>236</v>
      </c>
      <c r="D101" s="220" t="s">
        <v>239</v>
      </c>
      <c r="E101" s="220" t="s">
        <v>371</v>
      </c>
      <c r="F101" s="220" t="s">
        <v>315</v>
      </c>
      <c r="G101" s="222">
        <v>2097.2809999999999</v>
      </c>
      <c r="H101" s="222">
        <v>737.04</v>
      </c>
      <c r="I101" s="222">
        <v>887.04</v>
      </c>
      <c r="J101" s="214"/>
      <c r="K101" s="214"/>
      <c r="L101" s="214"/>
      <c r="M101" s="214"/>
      <c r="N101" s="214"/>
      <c r="O101" s="214"/>
      <c r="P101" s="214"/>
    </row>
    <row r="102" spans="1:16" ht="38.25">
      <c r="A102" s="220" t="s">
        <v>589</v>
      </c>
      <c r="B102" s="220" t="s">
        <v>73</v>
      </c>
      <c r="C102" s="220" t="s">
        <v>236</v>
      </c>
      <c r="D102" s="220" t="s">
        <v>239</v>
      </c>
      <c r="E102" s="220" t="s">
        <v>505</v>
      </c>
      <c r="F102" s="221"/>
      <c r="G102" s="222">
        <v>167.34728999999999</v>
      </c>
      <c r="H102" s="222">
        <v>0</v>
      </c>
      <c r="I102" s="222">
        <v>0</v>
      </c>
      <c r="J102" s="214"/>
      <c r="K102" s="214"/>
      <c r="L102" s="214"/>
      <c r="M102" s="214"/>
      <c r="N102" s="214"/>
      <c r="O102" s="214"/>
      <c r="P102" s="214"/>
    </row>
    <row r="103" spans="1:16">
      <c r="A103" s="220" t="s">
        <v>574</v>
      </c>
      <c r="B103" s="220" t="s">
        <v>73</v>
      </c>
      <c r="C103" s="220" t="s">
        <v>236</v>
      </c>
      <c r="D103" s="220" t="s">
        <v>239</v>
      </c>
      <c r="E103" s="220" t="s">
        <v>506</v>
      </c>
      <c r="F103" s="221"/>
      <c r="G103" s="222">
        <v>167.34728999999999</v>
      </c>
      <c r="H103" s="222">
        <v>0</v>
      </c>
      <c r="I103" s="222">
        <v>0</v>
      </c>
      <c r="J103" s="214"/>
      <c r="K103" s="214"/>
      <c r="L103" s="214"/>
      <c r="M103" s="214"/>
      <c r="N103" s="214"/>
      <c r="O103" s="214"/>
      <c r="P103" s="214"/>
    </row>
    <row r="104" spans="1:16" ht="25.5">
      <c r="A104" s="220" t="s">
        <v>1331</v>
      </c>
      <c r="B104" s="220" t="s">
        <v>73</v>
      </c>
      <c r="C104" s="220" t="s">
        <v>236</v>
      </c>
      <c r="D104" s="220" t="s">
        <v>239</v>
      </c>
      <c r="E104" s="220" t="s">
        <v>1323</v>
      </c>
      <c r="F104" s="221"/>
      <c r="G104" s="222">
        <v>167.34728999999999</v>
      </c>
      <c r="H104" s="222">
        <v>0</v>
      </c>
      <c r="I104" s="222">
        <v>0</v>
      </c>
      <c r="J104" s="214"/>
      <c r="K104" s="214"/>
      <c r="L104" s="214"/>
      <c r="M104" s="214"/>
      <c r="N104" s="214"/>
      <c r="O104" s="214"/>
      <c r="P104" s="214"/>
    </row>
    <row r="105" spans="1:16" ht="38.25">
      <c r="A105" s="220" t="s">
        <v>830</v>
      </c>
      <c r="B105" s="220" t="s">
        <v>73</v>
      </c>
      <c r="C105" s="220" t="s">
        <v>236</v>
      </c>
      <c r="D105" s="220" t="s">
        <v>239</v>
      </c>
      <c r="E105" s="220" t="s">
        <v>1323</v>
      </c>
      <c r="F105" s="220" t="s">
        <v>315</v>
      </c>
      <c r="G105" s="222">
        <v>167.34728999999999</v>
      </c>
      <c r="H105" s="222">
        <v>0</v>
      </c>
      <c r="I105" s="222">
        <v>0</v>
      </c>
      <c r="J105" s="214"/>
      <c r="K105" s="214"/>
      <c r="L105" s="214"/>
      <c r="M105" s="214"/>
      <c r="N105" s="214"/>
      <c r="O105" s="214"/>
      <c r="P105" s="214"/>
    </row>
    <row r="106" spans="1:16">
      <c r="A106" s="220" t="s">
        <v>552</v>
      </c>
      <c r="B106" s="220" t="s">
        <v>73</v>
      </c>
      <c r="C106" s="220" t="s">
        <v>236</v>
      </c>
      <c r="D106" s="220" t="s">
        <v>237</v>
      </c>
      <c r="E106" s="221"/>
      <c r="F106" s="221"/>
      <c r="G106" s="222">
        <v>284241.75595999998</v>
      </c>
      <c r="H106" s="222">
        <v>290714.01153000002</v>
      </c>
      <c r="I106" s="222">
        <v>297953.12718000001</v>
      </c>
      <c r="J106" s="214"/>
      <c r="K106" s="214"/>
      <c r="L106" s="214"/>
      <c r="M106" s="214"/>
      <c r="N106" s="214"/>
      <c r="O106" s="214"/>
      <c r="P106" s="214"/>
    </row>
    <row r="107" spans="1:16" ht="38.25">
      <c r="A107" s="220" t="s">
        <v>542</v>
      </c>
      <c r="B107" s="220" t="s">
        <v>73</v>
      </c>
      <c r="C107" s="220" t="s">
        <v>236</v>
      </c>
      <c r="D107" s="220" t="s">
        <v>237</v>
      </c>
      <c r="E107" s="220" t="s">
        <v>351</v>
      </c>
      <c r="F107" s="221"/>
      <c r="G107" s="222">
        <v>283582.23144</v>
      </c>
      <c r="H107" s="222">
        <v>290714.01153000002</v>
      </c>
      <c r="I107" s="222">
        <v>297953.12718000001</v>
      </c>
      <c r="J107" s="214"/>
      <c r="K107" s="214"/>
      <c r="L107" s="214"/>
      <c r="M107" s="214"/>
      <c r="N107" s="214"/>
      <c r="O107" s="214"/>
      <c r="P107" s="214"/>
    </row>
    <row r="108" spans="1:16" ht="38.25">
      <c r="A108" s="220" t="s">
        <v>553</v>
      </c>
      <c r="B108" s="220" t="s">
        <v>73</v>
      </c>
      <c r="C108" s="220" t="s">
        <v>236</v>
      </c>
      <c r="D108" s="220" t="s">
        <v>237</v>
      </c>
      <c r="E108" s="220" t="s">
        <v>471</v>
      </c>
      <c r="F108" s="221"/>
      <c r="G108" s="222">
        <v>280349.76543999999</v>
      </c>
      <c r="H108" s="222">
        <v>287508.647</v>
      </c>
      <c r="I108" s="222">
        <v>294957.76199999999</v>
      </c>
      <c r="J108" s="214"/>
      <c r="K108" s="214"/>
      <c r="L108" s="214"/>
      <c r="M108" s="214"/>
      <c r="N108" s="214"/>
      <c r="O108" s="214"/>
      <c r="P108" s="214"/>
    </row>
    <row r="109" spans="1:16" ht="38.25">
      <c r="A109" s="220" t="s">
        <v>853</v>
      </c>
      <c r="B109" s="220" t="s">
        <v>73</v>
      </c>
      <c r="C109" s="220" t="s">
        <v>236</v>
      </c>
      <c r="D109" s="220" t="s">
        <v>237</v>
      </c>
      <c r="E109" s="220" t="s">
        <v>352</v>
      </c>
      <c r="F109" s="221"/>
      <c r="G109" s="222">
        <v>280349.76543999999</v>
      </c>
      <c r="H109" s="222">
        <v>287508.647</v>
      </c>
      <c r="I109" s="222">
        <v>294957.76199999999</v>
      </c>
      <c r="J109" s="214"/>
      <c r="K109" s="214"/>
      <c r="L109" s="214"/>
      <c r="M109" s="214"/>
      <c r="N109" s="214"/>
      <c r="O109" s="214"/>
      <c r="P109" s="214"/>
    </row>
    <row r="110" spans="1:16" ht="25.5">
      <c r="A110" s="220" t="s">
        <v>970</v>
      </c>
      <c r="B110" s="220" t="s">
        <v>73</v>
      </c>
      <c r="C110" s="220" t="s">
        <v>236</v>
      </c>
      <c r="D110" s="220" t="s">
        <v>237</v>
      </c>
      <c r="E110" s="220" t="s">
        <v>961</v>
      </c>
      <c r="F110" s="221"/>
      <c r="G110" s="222">
        <v>56431.614999999998</v>
      </c>
      <c r="H110" s="222">
        <v>56431.614999999998</v>
      </c>
      <c r="I110" s="222">
        <v>53431.614999999998</v>
      </c>
      <c r="J110" s="214"/>
      <c r="K110" s="214"/>
      <c r="L110" s="214"/>
      <c r="M110" s="214"/>
      <c r="N110" s="214"/>
      <c r="O110" s="214"/>
      <c r="P110" s="214"/>
    </row>
    <row r="111" spans="1:16" ht="38.25">
      <c r="A111" s="220" t="s">
        <v>830</v>
      </c>
      <c r="B111" s="220" t="s">
        <v>73</v>
      </c>
      <c r="C111" s="220" t="s">
        <v>236</v>
      </c>
      <c r="D111" s="220" t="s">
        <v>237</v>
      </c>
      <c r="E111" s="220" t="s">
        <v>961</v>
      </c>
      <c r="F111" s="220" t="s">
        <v>315</v>
      </c>
      <c r="G111" s="222">
        <v>56431.614999999998</v>
      </c>
      <c r="H111" s="222">
        <v>56431.614999999998</v>
      </c>
      <c r="I111" s="222">
        <v>53431.614999999998</v>
      </c>
      <c r="J111" s="214"/>
      <c r="K111" s="214"/>
      <c r="L111" s="214"/>
      <c r="M111" s="214"/>
      <c r="N111" s="214"/>
      <c r="O111" s="214"/>
      <c r="P111" s="214"/>
    </row>
    <row r="112" spans="1:16" ht="51">
      <c r="A112" s="220" t="s">
        <v>854</v>
      </c>
      <c r="B112" s="220" t="s">
        <v>73</v>
      </c>
      <c r="C112" s="220" t="s">
        <v>236</v>
      </c>
      <c r="D112" s="220" t="s">
        <v>237</v>
      </c>
      <c r="E112" s="220" t="s">
        <v>353</v>
      </c>
      <c r="F112" s="221"/>
      <c r="G112" s="222">
        <v>13752.07344</v>
      </c>
      <c r="H112" s="222">
        <v>13992.300999999999</v>
      </c>
      <c r="I112" s="222">
        <v>13992.300999999999</v>
      </c>
      <c r="J112" s="214"/>
      <c r="K112" s="214"/>
      <c r="L112" s="214"/>
      <c r="M112" s="214"/>
      <c r="N112" s="214"/>
      <c r="O112" s="214"/>
      <c r="P112" s="214"/>
    </row>
    <row r="113" spans="1:16" ht="38.25">
      <c r="A113" s="220" t="s">
        <v>830</v>
      </c>
      <c r="B113" s="220" t="s">
        <v>73</v>
      </c>
      <c r="C113" s="220" t="s">
        <v>236</v>
      </c>
      <c r="D113" s="220" t="s">
        <v>237</v>
      </c>
      <c r="E113" s="220" t="s">
        <v>353</v>
      </c>
      <c r="F113" s="220" t="s">
        <v>315</v>
      </c>
      <c r="G113" s="222">
        <v>13752.07344</v>
      </c>
      <c r="H113" s="222">
        <v>13992.300999999999</v>
      </c>
      <c r="I113" s="222">
        <v>13992.300999999999</v>
      </c>
      <c r="J113" s="214"/>
      <c r="K113" s="214"/>
      <c r="L113" s="214"/>
      <c r="M113" s="214"/>
      <c r="N113" s="214"/>
      <c r="O113" s="214"/>
      <c r="P113" s="214"/>
    </row>
    <row r="114" spans="1:16" ht="178.5">
      <c r="A114" s="220" t="s">
        <v>990</v>
      </c>
      <c r="B114" s="220" t="s">
        <v>73</v>
      </c>
      <c r="C114" s="220" t="s">
        <v>236</v>
      </c>
      <c r="D114" s="220" t="s">
        <v>237</v>
      </c>
      <c r="E114" s="220" t="s">
        <v>354</v>
      </c>
      <c r="F114" s="221"/>
      <c r="G114" s="222">
        <v>207851.45</v>
      </c>
      <c r="H114" s="222">
        <v>214694.446</v>
      </c>
      <c r="I114" s="222">
        <v>225028.48499999999</v>
      </c>
      <c r="J114" s="214"/>
      <c r="K114" s="214"/>
      <c r="L114" s="214"/>
      <c r="M114" s="214"/>
      <c r="N114" s="214"/>
      <c r="O114" s="214"/>
      <c r="P114" s="214"/>
    </row>
    <row r="115" spans="1:16" ht="38.25">
      <c r="A115" s="220" t="s">
        <v>830</v>
      </c>
      <c r="B115" s="220" t="s">
        <v>73</v>
      </c>
      <c r="C115" s="220" t="s">
        <v>236</v>
      </c>
      <c r="D115" s="220" t="s">
        <v>237</v>
      </c>
      <c r="E115" s="220" t="s">
        <v>354</v>
      </c>
      <c r="F115" s="220" t="s">
        <v>315</v>
      </c>
      <c r="G115" s="222">
        <v>207851.45</v>
      </c>
      <c r="H115" s="222">
        <v>214694.446</v>
      </c>
      <c r="I115" s="222">
        <v>225028.48499999999</v>
      </c>
      <c r="J115" s="214"/>
      <c r="K115" s="214"/>
      <c r="L115" s="214"/>
      <c r="M115" s="214"/>
      <c r="N115" s="214"/>
      <c r="O115" s="214"/>
      <c r="P115" s="214"/>
    </row>
    <row r="116" spans="1:16" ht="178.5">
      <c r="A116" s="220" t="s">
        <v>855</v>
      </c>
      <c r="B116" s="220" t="s">
        <v>73</v>
      </c>
      <c r="C116" s="220" t="s">
        <v>236</v>
      </c>
      <c r="D116" s="220" t="s">
        <v>237</v>
      </c>
      <c r="E116" s="220" t="s">
        <v>355</v>
      </c>
      <c r="F116" s="221"/>
      <c r="G116" s="222">
        <v>2314.627</v>
      </c>
      <c r="H116" s="222">
        <v>2390.2849999999999</v>
      </c>
      <c r="I116" s="222">
        <v>2505.3609999999999</v>
      </c>
      <c r="J116" s="214"/>
      <c r="K116" s="214"/>
      <c r="L116" s="214"/>
      <c r="M116" s="214"/>
      <c r="N116" s="214"/>
      <c r="O116" s="214"/>
      <c r="P116" s="214"/>
    </row>
    <row r="117" spans="1:16" ht="38.25">
      <c r="A117" s="220" t="s">
        <v>830</v>
      </c>
      <c r="B117" s="220" t="s">
        <v>73</v>
      </c>
      <c r="C117" s="220" t="s">
        <v>236</v>
      </c>
      <c r="D117" s="220" t="s">
        <v>237</v>
      </c>
      <c r="E117" s="220" t="s">
        <v>355</v>
      </c>
      <c r="F117" s="220" t="s">
        <v>315</v>
      </c>
      <c r="G117" s="222">
        <v>2298.5250000000001</v>
      </c>
      <c r="H117" s="222">
        <v>2390.2849999999999</v>
      </c>
      <c r="I117" s="222">
        <v>2505.3609999999999</v>
      </c>
      <c r="J117" s="214"/>
      <c r="K117" s="214"/>
      <c r="L117" s="214"/>
      <c r="M117" s="214"/>
      <c r="N117" s="214"/>
      <c r="O117" s="214"/>
      <c r="P117" s="214"/>
    </row>
    <row r="118" spans="1:16">
      <c r="A118" s="220" t="s">
        <v>849</v>
      </c>
      <c r="B118" s="220" t="s">
        <v>73</v>
      </c>
      <c r="C118" s="220" t="s">
        <v>236</v>
      </c>
      <c r="D118" s="220" t="s">
        <v>237</v>
      </c>
      <c r="E118" s="220" t="s">
        <v>355</v>
      </c>
      <c r="F118" s="220" t="s">
        <v>314</v>
      </c>
      <c r="G118" s="222">
        <v>16.102</v>
      </c>
      <c r="H118" s="222">
        <v>0</v>
      </c>
      <c r="I118" s="222">
        <v>0</v>
      </c>
      <c r="J118" s="214"/>
      <c r="K118" s="214"/>
      <c r="L118" s="214"/>
      <c r="M118" s="214"/>
      <c r="N118" s="214"/>
      <c r="O118" s="214"/>
      <c r="P118" s="214"/>
    </row>
    <row r="119" spans="1:16" ht="38.25">
      <c r="A119" s="220" t="s">
        <v>1230</v>
      </c>
      <c r="B119" s="220" t="s">
        <v>73</v>
      </c>
      <c r="C119" s="220" t="s">
        <v>236</v>
      </c>
      <c r="D119" s="220" t="s">
        <v>237</v>
      </c>
      <c r="E119" s="220" t="s">
        <v>369</v>
      </c>
      <c r="F119" s="221"/>
      <c r="G119" s="222">
        <v>3232.4659999999999</v>
      </c>
      <c r="H119" s="222">
        <v>3205.3645299999998</v>
      </c>
      <c r="I119" s="222">
        <v>2995.3651799999998</v>
      </c>
      <c r="J119" s="214"/>
      <c r="K119" s="214"/>
      <c r="L119" s="214"/>
      <c r="M119" s="214"/>
      <c r="N119" s="214"/>
      <c r="O119" s="214"/>
      <c r="P119" s="214"/>
    </row>
    <row r="120" spans="1:16" ht="25.5">
      <c r="A120" s="220" t="s">
        <v>1237</v>
      </c>
      <c r="B120" s="220" t="s">
        <v>73</v>
      </c>
      <c r="C120" s="220" t="s">
        <v>236</v>
      </c>
      <c r="D120" s="220" t="s">
        <v>237</v>
      </c>
      <c r="E120" s="220" t="s">
        <v>370</v>
      </c>
      <c r="F120" s="221"/>
      <c r="G120" s="222">
        <v>892.88599999999997</v>
      </c>
      <c r="H120" s="222">
        <v>2231.3645299999998</v>
      </c>
      <c r="I120" s="222">
        <v>2021.36518</v>
      </c>
      <c r="J120" s="214"/>
      <c r="K120" s="214"/>
      <c r="L120" s="214"/>
      <c r="M120" s="214"/>
      <c r="N120" s="214"/>
      <c r="O120" s="214"/>
      <c r="P120" s="214"/>
    </row>
    <row r="121" spans="1:16" ht="38.25">
      <c r="A121" s="220" t="s">
        <v>1238</v>
      </c>
      <c r="B121" s="220" t="s">
        <v>73</v>
      </c>
      <c r="C121" s="220" t="s">
        <v>236</v>
      </c>
      <c r="D121" s="220" t="s">
        <v>237</v>
      </c>
      <c r="E121" s="220" t="s">
        <v>371</v>
      </c>
      <c r="F121" s="221"/>
      <c r="G121" s="222">
        <v>892.88599999999997</v>
      </c>
      <c r="H121" s="222">
        <v>2231.3645299999998</v>
      </c>
      <c r="I121" s="222">
        <v>2021.36518</v>
      </c>
      <c r="J121" s="214"/>
      <c r="K121" s="214"/>
      <c r="L121" s="214"/>
      <c r="M121" s="214"/>
      <c r="N121" s="214"/>
      <c r="O121" s="214"/>
      <c r="P121" s="214"/>
    </row>
    <row r="122" spans="1:16" ht="38.25">
      <c r="A122" s="220" t="s">
        <v>830</v>
      </c>
      <c r="B122" s="220" t="s">
        <v>73</v>
      </c>
      <c r="C122" s="220" t="s">
        <v>236</v>
      </c>
      <c r="D122" s="220" t="s">
        <v>237</v>
      </c>
      <c r="E122" s="220" t="s">
        <v>371</v>
      </c>
      <c r="F122" s="220" t="s">
        <v>315</v>
      </c>
      <c r="G122" s="222">
        <v>892.88599999999997</v>
      </c>
      <c r="H122" s="222">
        <v>2231.3645299999998</v>
      </c>
      <c r="I122" s="222">
        <v>2021.36518</v>
      </c>
      <c r="J122" s="214"/>
      <c r="K122" s="214"/>
      <c r="L122" s="214"/>
      <c r="M122" s="214"/>
      <c r="N122" s="214"/>
      <c r="O122" s="214"/>
      <c r="P122" s="214"/>
    </row>
    <row r="123" spans="1:16" ht="38.25">
      <c r="A123" s="220" t="s">
        <v>1231</v>
      </c>
      <c r="B123" s="220" t="s">
        <v>73</v>
      </c>
      <c r="C123" s="220" t="s">
        <v>236</v>
      </c>
      <c r="D123" s="220" t="s">
        <v>237</v>
      </c>
      <c r="E123" s="220" t="s">
        <v>372</v>
      </c>
      <c r="F123" s="221"/>
      <c r="G123" s="222">
        <v>290</v>
      </c>
      <c r="H123" s="222">
        <v>290</v>
      </c>
      <c r="I123" s="222">
        <v>290</v>
      </c>
      <c r="J123" s="214"/>
      <c r="K123" s="214"/>
      <c r="L123" s="214"/>
      <c r="M123" s="214"/>
      <c r="N123" s="214"/>
      <c r="O123" s="214"/>
      <c r="P123" s="214"/>
    </row>
    <row r="124" spans="1:16" ht="38.25">
      <c r="A124" s="220" t="s">
        <v>1326</v>
      </c>
      <c r="B124" s="220" t="s">
        <v>73</v>
      </c>
      <c r="C124" s="220" t="s">
        <v>236</v>
      </c>
      <c r="D124" s="220" t="s">
        <v>237</v>
      </c>
      <c r="E124" s="220" t="s">
        <v>1300</v>
      </c>
      <c r="F124" s="221"/>
      <c r="G124" s="222">
        <v>90</v>
      </c>
      <c r="H124" s="222">
        <v>90</v>
      </c>
      <c r="I124" s="222">
        <v>90</v>
      </c>
      <c r="J124" s="214"/>
      <c r="K124" s="214"/>
      <c r="L124" s="214"/>
      <c r="M124" s="214"/>
      <c r="N124" s="214"/>
      <c r="O124" s="214"/>
      <c r="P124" s="214"/>
    </row>
    <row r="125" spans="1:16" ht="38.25">
      <c r="A125" s="220" t="s">
        <v>833</v>
      </c>
      <c r="B125" s="220" t="s">
        <v>73</v>
      </c>
      <c r="C125" s="220" t="s">
        <v>236</v>
      </c>
      <c r="D125" s="220" t="s">
        <v>237</v>
      </c>
      <c r="E125" s="220" t="s">
        <v>1300</v>
      </c>
      <c r="F125" s="220" t="s">
        <v>313</v>
      </c>
      <c r="G125" s="222">
        <v>90</v>
      </c>
      <c r="H125" s="222">
        <v>90</v>
      </c>
      <c r="I125" s="222">
        <v>90</v>
      </c>
      <c r="J125" s="214"/>
      <c r="K125" s="214"/>
      <c r="L125" s="214"/>
      <c r="M125" s="214"/>
      <c r="N125" s="214"/>
      <c r="O125" s="214"/>
      <c r="P125" s="214"/>
    </row>
    <row r="126" spans="1:16" ht="38.25">
      <c r="A126" s="220" t="s">
        <v>1239</v>
      </c>
      <c r="B126" s="220" t="s">
        <v>73</v>
      </c>
      <c r="C126" s="220" t="s">
        <v>236</v>
      </c>
      <c r="D126" s="220" t="s">
        <v>237</v>
      </c>
      <c r="E126" s="220" t="s">
        <v>1090</v>
      </c>
      <c r="F126" s="221"/>
      <c r="G126" s="222">
        <v>200</v>
      </c>
      <c r="H126" s="222">
        <v>200</v>
      </c>
      <c r="I126" s="222">
        <v>200</v>
      </c>
      <c r="J126" s="214"/>
      <c r="K126" s="214"/>
      <c r="L126" s="214"/>
      <c r="M126" s="214"/>
      <c r="N126" s="214"/>
      <c r="O126" s="214"/>
      <c r="P126" s="214"/>
    </row>
    <row r="127" spans="1:16" ht="38.25">
      <c r="A127" s="220" t="s">
        <v>830</v>
      </c>
      <c r="B127" s="220" t="s">
        <v>73</v>
      </c>
      <c r="C127" s="220" t="s">
        <v>236</v>
      </c>
      <c r="D127" s="220" t="s">
        <v>237</v>
      </c>
      <c r="E127" s="220" t="s">
        <v>1090</v>
      </c>
      <c r="F127" s="220" t="s">
        <v>315</v>
      </c>
      <c r="G127" s="222">
        <v>200</v>
      </c>
      <c r="H127" s="222">
        <v>200</v>
      </c>
      <c r="I127" s="222">
        <v>200</v>
      </c>
      <c r="J127" s="214"/>
      <c r="K127" s="214"/>
      <c r="L127" s="214"/>
      <c r="M127" s="214"/>
      <c r="N127" s="214"/>
      <c r="O127" s="214"/>
      <c r="P127" s="214"/>
    </row>
    <row r="128" spans="1:16" ht="51">
      <c r="A128" s="220" t="s">
        <v>856</v>
      </c>
      <c r="B128" s="220" t="s">
        <v>73</v>
      </c>
      <c r="C128" s="220" t="s">
        <v>236</v>
      </c>
      <c r="D128" s="220" t="s">
        <v>237</v>
      </c>
      <c r="E128" s="220" t="s">
        <v>939</v>
      </c>
      <c r="F128" s="221"/>
      <c r="G128" s="222">
        <v>2049.58</v>
      </c>
      <c r="H128" s="222">
        <v>684</v>
      </c>
      <c r="I128" s="222">
        <v>684</v>
      </c>
      <c r="J128" s="214"/>
      <c r="K128" s="214"/>
      <c r="L128" s="214"/>
      <c r="M128" s="214"/>
      <c r="N128" s="214"/>
      <c r="O128" s="214"/>
      <c r="P128" s="214"/>
    </row>
    <row r="129" spans="1:16" ht="51">
      <c r="A129" s="220" t="s">
        <v>949</v>
      </c>
      <c r="B129" s="220" t="s">
        <v>73</v>
      </c>
      <c r="C129" s="220" t="s">
        <v>236</v>
      </c>
      <c r="D129" s="220" t="s">
        <v>237</v>
      </c>
      <c r="E129" s="220" t="s">
        <v>941</v>
      </c>
      <c r="F129" s="221"/>
      <c r="G129" s="222">
        <v>1949.58</v>
      </c>
      <c r="H129" s="222">
        <v>684</v>
      </c>
      <c r="I129" s="222">
        <v>684</v>
      </c>
      <c r="J129" s="214"/>
      <c r="K129" s="214"/>
      <c r="L129" s="214"/>
      <c r="M129" s="214"/>
      <c r="N129" s="214"/>
      <c r="O129" s="214"/>
      <c r="P129" s="214"/>
    </row>
    <row r="130" spans="1:16" ht="38.25">
      <c r="A130" s="220" t="s">
        <v>830</v>
      </c>
      <c r="B130" s="220" t="s">
        <v>73</v>
      </c>
      <c r="C130" s="220" t="s">
        <v>236</v>
      </c>
      <c r="D130" s="220" t="s">
        <v>237</v>
      </c>
      <c r="E130" s="220" t="s">
        <v>941</v>
      </c>
      <c r="F130" s="220" t="s">
        <v>315</v>
      </c>
      <c r="G130" s="222">
        <v>1949.58</v>
      </c>
      <c r="H130" s="222">
        <v>684</v>
      </c>
      <c r="I130" s="222">
        <v>684</v>
      </c>
      <c r="J130" s="214"/>
      <c r="K130" s="214"/>
      <c r="L130" s="214"/>
      <c r="M130" s="214"/>
      <c r="N130" s="214"/>
      <c r="O130" s="214"/>
      <c r="P130" s="214"/>
    </row>
    <row r="131" spans="1:16" ht="38.25">
      <c r="A131" s="220" t="s">
        <v>1327</v>
      </c>
      <c r="B131" s="220" t="s">
        <v>73</v>
      </c>
      <c r="C131" s="220" t="s">
        <v>236</v>
      </c>
      <c r="D131" s="220" t="s">
        <v>237</v>
      </c>
      <c r="E131" s="220" t="s">
        <v>1302</v>
      </c>
      <c r="F131" s="221"/>
      <c r="G131" s="222">
        <v>100</v>
      </c>
      <c r="H131" s="222">
        <v>0</v>
      </c>
      <c r="I131" s="222">
        <v>0</v>
      </c>
      <c r="J131" s="214"/>
      <c r="K131" s="214"/>
      <c r="L131" s="214"/>
      <c r="M131" s="214"/>
      <c r="N131" s="214"/>
      <c r="O131" s="214"/>
      <c r="P131" s="214"/>
    </row>
    <row r="132" spans="1:16" ht="38.25">
      <c r="A132" s="220" t="s">
        <v>830</v>
      </c>
      <c r="B132" s="220" t="s">
        <v>73</v>
      </c>
      <c r="C132" s="220" t="s">
        <v>236</v>
      </c>
      <c r="D132" s="220" t="s">
        <v>237</v>
      </c>
      <c r="E132" s="220" t="s">
        <v>1302</v>
      </c>
      <c r="F132" s="220" t="s">
        <v>315</v>
      </c>
      <c r="G132" s="222">
        <v>100</v>
      </c>
      <c r="H132" s="222">
        <v>0</v>
      </c>
      <c r="I132" s="222">
        <v>0</v>
      </c>
      <c r="J132" s="214"/>
      <c r="K132" s="214"/>
      <c r="L132" s="214"/>
      <c r="M132" s="214"/>
      <c r="N132" s="214"/>
      <c r="O132" s="214"/>
      <c r="P132" s="214"/>
    </row>
    <row r="133" spans="1:16" ht="38.25">
      <c r="A133" s="220" t="s">
        <v>589</v>
      </c>
      <c r="B133" s="220" t="s">
        <v>73</v>
      </c>
      <c r="C133" s="220" t="s">
        <v>236</v>
      </c>
      <c r="D133" s="220" t="s">
        <v>237</v>
      </c>
      <c r="E133" s="220" t="s">
        <v>505</v>
      </c>
      <c r="F133" s="221"/>
      <c r="G133" s="222">
        <v>659.52452000000005</v>
      </c>
      <c r="H133" s="222">
        <v>0</v>
      </c>
      <c r="I133" s="222">
        <v>0</v>
      </c>
      <c r="J133" s="214"/>
      <c r="K133" s="214"/>
      <c r="L133" s="214"/>
      <c r="M133" s="214"/>
      <c r="N133" s="214"/>
      <c r="O133" s="214"/>
      <c r="P133" s="214"/>
    </row>
    <row r="134" spans="1:16">
      <c r="A134" s="220" t="s">
        <v>574</v>
      </c>
      <c r="B134" s="220" t="s">
        <v>73</v>
      </c>
      <c r="C134" s="220" t="s">
        <v>236</v>
      </c>
      <c r="D134" s="220" t="s">
        <v>237</v>
      </c>
      <c r="E134" s="220" t="s">
        <v>506</v>
      </c>
      <c r="F134" s="221"/>
      <c r="G134" s="222">
        <v>659.52452000000005</v>
      </c>
      <c r="H134" s="222">
        <v>0</v>
      </c>
      <c r="I134" s="222">
        <v>0</v>
      </c>
      <c r="J134" s="214"/>
      <c r="K134" s="214"/>
      <c r="L134" s="214"/>
      <c r="M134" s="214"/>
      <c r="N134" s="214"/>
      <c r="O134" s="214"/>
      <c r="P134" s="214"/>
    </row>
    <row r="135" spans="1:16" ht="25.5">
      <c r="A135" s="220" t="s">
        <v>1331</v>
      </c>
      <c r="B135" s="220" t="s">
        <v>73</v>
      </c>
      <c r="C135" s="220" t="s">
        <v>236</v>
      </c>
      <c r="D135" s="220" t="s">
        <v>237</v>
      </c>
      <c r="E135" s="220" t="s">
        <v>1323</v>
      </c>
      <c r="F135" s="221"/>
      <c r="G135" s="222">
        <v>659.52452000000005</v>
      </c>
      <c r="H135" s="222">
        <v>0</v>
      </c>
      <c r="I135" s="222">
        <v>0</v>
      </c>
      <c r="J135" s="214"/>
      <c r="K135" s="214"/>
      <c r="L135" s="214"/>
      <c r="M135" s="214"/>
      <c r="N135" s="214"/>
      <c r="O135" s="214"/>
      <c r="P135" s="214"/>
    </row>
    <row r="136" spans="1:16" ht="38.25">
      <c r="A136" s="220" t="s">
        <v>830</v>
      </c>
      <c r="B136" s="220" t="s">
        <v>73</v>
      </c>
      <c r="C136" s="220" t="s">
        <v>236</v>
      </c>
      <c r="D136" s="220" t="s">
        <v>237</v>
      </c>
      <c r="E136" s="220" t="s">
        <v>1323</v>
      </c>
      <c r="F136" s="220" t="s">
        <v>315</v>
      </c>
      <c r="G136" s="222">
        <v>659.52452000000005</v>
      </c>
      <c r="H136" s="222">
        <v>0</v>
      </c>
      <c r="I136" s="222">
        <v>0</v>
      </c>
      <c r="J136" s="214"/>
      <c r="K136" s="214"/>
      <c r="L136" s="214"/>
      <c r="M136" s="214"/>
      <c r="N136" s="214"/>
      <c r="O136" s="214"/>
      <c r="P136" s="214"/>
    </row>
    <row r="137" spans="1:16">
      <c r="A137" s="220" t="s">
        <v>541</v>
      </c>
      <c r="B137" s="220" t="s">
        <v>73</v>
      </c>
      <c r="C137" s="220" t="s">
        <v>236</v>
      </c>
      <c r="D137" s="220" t="s">
        <v>241</v>
      </c>
      <c r="E137" s="221"/>
      <c r="F137" s="221"/>
      <c r="G137" s="222">
        <v>19862.52447</v>
      </c>
      <c r="H137" s="222">
        <v>17222.165850000001</v>
      </c>
      <c r="I137" s="222">
        <v>17282.165850000001</v>
      </c>
      <c r="J137" s="214"/>
      <c r="K137" s="214"/>
      <c r="L137" s="214"/>
      <c r="M137" s="214"/>
      <c r="N137" s="214"/>
      <c r="O137" s="214"/>
      <c r="P137" s="214"/>
    </row>
    <row r="138" spans="1:16" ht="38.25">
      <c r="A138" s="220" t="s">
        <v>542</v>
      </c>
      <c r="B138" s="220" t="s">
        <v>73</v>
      </c>
      <c r="C138" s="220" t="s">
        <v>236</v>
      </c>
      <c r="D138" s="220" t="s">
        <v>241</v>
      </c>
      <c r="E138" s="220" t="s">
        <v>351</v>
      </c>
      <c r="F138" s="221"/>
      <c r="G138" s="222">
        <v>19789.347010000001</v>
      </c>
      <c r="H138" s="222">
        <v>17222.165850000001</v>
      </c>
      <c r="I138" s="222">
        <v>17282.165850000001</v>
      </c>
      <c r="J138" s="214"/>
      <c r="K138" s="214"/>
      <c r="L138" s="214"/>
      <c r="M138" s="214"/>
      <c r="N138" s="214"/>
      <c r="O138" s="214"/>
      <c r="P138" s="214"/>
    </row>
    <row r="139" spans="1:16" ht="38.25">
      <c r="A139" s="220" t="s">
        <v>543</v>
      </c>
      <c r="B139" s="220" t="s">
        <v>73</v>
      </c>
      <c r="C139" s="220" t="s">
        <v>236</v>
      </c>
      <c r="D139" s="220" t="s">
        <v>241</v>
      </c>
      <c r="E139" s="220" t="s">
        <v>361</v>
      </c>
      <c r="F139" s="221"/>
      <c r="G139" s="222">
        <v>19524.547009999998</v>
      </c>
      <c r="H139" s="222">
        <v>16957.365849999998</v>
      </c>
      <c r="I139" s="222">
        <v>16957.365849999998</v>
      </c>
      <c r="J139" s="214"/>
      <c r="K139" s="214"/>
      <c r="L139" s="214"/>
      <c r="M139" s="214"/>
      <c r="N139" s="214"/>
      <c r="O139" s="214"/>
      <c r="P139" s="214"/>
    </row>
    <row r="140" spans="1:16" ht="51">
      <c r="A140" s="220" t="s">
        <v>1228</v>
      </c>
      <c r="B140" s="220" t="s">
        <v>73</v>
      </c>
      <c r="C140" s="220" t="s">
        <v>236</v>
      </c>
      <c r="D140" s="220" t="s">
        <v>241</v>
      </c>
      <c r="E140" s="220" t="s">
        <v>362</v>
      </c>
      <c r="F140" s="221"/>
      <c r="G140" s="222">
        <v>18892.970560000002</v>
      </c>
      <c r="H140" s="222">
        <v>16957.365849999998</v>
      </c>
      <c r="I140" s="222">
        <v>16957.365849999998</v>
      </c>
      <c r="J140" s="214"/>
      <c r="K140" s="214"/>
      <c r="L140" s="214"/>
      <c r="M140" s="214"/>
      <c r="N140" s="214"/>
      <c r="O140" s="214"/>
      <c r="P140" s="214"/>
    </row>
    <row r="141" spans="1:16" ht="25.5">
      <c r="A141" s="220" t="s">
        <v>970</v>
      </c>
      <c r="B141" s="220" t="s">
        <v>73</v>
      </c>
      <c r="C141" s="220" t="s">
        <v>236</v>
      </c>
      <c r="D141" s="220" t="s">
        <v>241</v>
      </c>
      <c r="E141" s="220" t="s">
        <v>962</v>
      </c>
      <c r="F141" s="221"/>
      <c r="G141" s="222">
        <v>1573.4690000000001</v>
      </c>
      <c r="H141" s="222">
        <v>1573.4690000000001</v>
      </c>
      <c r="I141" s="222">
        <v>1573.4690000000001</v>
      </c>
      <c r="J141" s="214"/>
      <c r="K141" s="214"/>
      <c r="L141" s="214"/>
      <c r="M141" s="214"/>
      <c r="N141" s="214"/>
      <c r="O141" s="214"/>
      <c r="P141" s="214"/>
    </row>
    <row r="142" spans="1:16" ht="38.25">
      <c r="A142" s="220" t="s">
        <v>830</v>
      </c>
      <c r="B142" s="220" t="s">
        <v>73</v>
      </c>
      <c r="C142" s="220" t="s">
        <v>236</v>
      </c>
      <c r="D142" s="220" t="s">
        <v>241</v>
      </c>
      <c r="E142" s="220" t="s">
        <v>962</v>
      </c>
      <c r="F142" s="220" t="s">
        <v>315</v>
      </c>
      <c r="G142" s="222">
        <v>1573.4690000000001</v>
      </c>
      <c r="H142" s="222">
        <v>1573.4690000000001</v>
      </c>
      <c r="I142" s="222">
        <v>1573.4690000000001</v>
      </c>
      <c r="J142" s="214"/>
      <c r="K142" s="214"/>
      <c r="L142" s="214"/>
      <c r="M142" s="214"/>
      <c r="N142" s="214"/>
      <c r="O142" s="214"/>
      <c r="P142" s="214"/>
    </row>
    <row r="143" spans="1:16" ht="51">
      <c r="A143" s="220" t="s">
        <v>858</v>
      </c>
      <c r="B143" s="220" t="s">
        <v>73</v>
      </c>
      <c r="C143" s="220" t="s">
        <v>236</v>
      </c>
      <c r="D143" s="220" t="s">
        <v>241</v>
      </c>
      <c r="E143" s="220" t="s">
        <v>363</v>
      </c>
      <c r="F143" s="221"/>
      <c r="G143" s="222">
        <v>17319.501560000001</v>
      </c>
      <c r="H143" s="222">
        <v>15383.896849999999</v>
      </c>
      <c r="I143" s="222">
        <v>15383.896849999999</v>
      </c>
      <c r="J143" s="214"/>
      <c r="K143" s="214"/>
      <c r="L143" s="214"/>
      <c r="M143" s="214"/>
      <c r="N143" s="214"/>
      <c r="O143" s="214"/>
      <c r="P143" s="214"/>
    </row>
    <row r="144" spans="1:16" ht="38.25">
      <c r="A144" s="220" t="s">
        <v>830</v>
      </c>
      <c r="B144" s="220" t="s">
        <v>73</v>
      </c>
      <c r="C144" s="220" t="s">
        <v>236</v>
      </c>
      <c r="D144" s="220" t="s">
        <v>241</v>
      </c>
      <c r="E144" s="220" t="s">
        <v>363</v>
      </c>
      <c r="F144" s="220" t="s">
        <v>315</v>
      </c>
      <c r="G144" s="222">
        <v>17319.501560000001</v>
      </c>
      <c r="H144" s="222">
        <v>15383.896849999999</v>
      </c>
      <c r="I144" s="222">
        <v>15383.896849999999</v>
      </c>
      <c r="J144" s="214"/>
      <c r="K144" s="214"/>
      <c r="L144" s="214"/>
      <c r="M144" s="214"/>
      <c r="N144" s="214"/>
      <c r="O144" s="214"/>
      <c r="P144" s="214"/>
    </row>
    <row r="145" spans="1:16" ht="63.75">
      <c r="A145" s="220" t="s">
        <v>1229</v>
      </c>
      <c r="B145" s="220" t="s">
        <v>73</v>
      </c>
      <c r="C145" s="220" t="s">
        <v>236</v>
      </c>
      <c r="D145" s="220" t="s">
        <v>241</v>
      </c>
      <c r="E145" s="220" t="s">
        <v>364</v>
      </c>
      <c r="F145" s="221"/>
      <c r="G145" s="222">
        <v>631.57645000000002</v>
      </c>
      <c r="H145" s="222">
        <v>0</v>
      </c>
      <c r="I145" s="222">
        <v>0</v>
      </c>
      <c r="J145" s="214"/>
      <c r="K145" s="214"/>
      <c r="L145" s="214"/>
      <c r="M145" s="214"/>
      <c r="N145" s="214"/>
      <c r="O145" s="214"/>
      <c r="P145" s="214"/>
    </row>
    <row r="146" spans="1:16" ht="89.25">
      <c r="A146" s="220" t="s">
        <v>1240</v>
      </c>
      <c r="B146" s="220" t="s">
        <v>73</v>
      </c>
      <c r="C146" s="220" t="s">
        <v>236</v>
      </c>
      <c r="D146" s="220" t="s">
        <v>241</v>
      </c>
      <c r="E146" s="220" t="s">
        <v>1075</v>
      </c>
      <c r="F146" s="221"/>
      <c r="G146" s="222">
        <v>631.57645000000002</v>
      </c>
      <c r="H146" s="222">
        <v>0</v>
      </c>
      <c r="I146" s="222">
        <v>0</v>
      </c>
      <c r="J146" s="214"/>
      <c r="K146" s="214"/>
      <c r="L146" s="214"/>
      <c r="M146" s="214"/>
      <c r="N146" s="214"/>
      <c r="O146" s="214"/>
      <c r="P146" s="214"/>
    </row>
    <row r="147" spans="1:16" ht="38.25">
      <c r="A147" s="220" t="s">
        <v>830</v>
      </c>
      <c r="B147" s="220" t="s">
        <v>73</v>
      </c>
      <c r="C147" s="220" t="s">
        <v>236</v>
      </c>
      <c r="D147" s="220" t="s">
        <v>241</v>
      </c>
      <c r="E147" s="220" t="s">
        <v>1075</v>
      </c>
      <c r="F147" s="220" t="s">
        <v>315</v>
      </c>
      <c r="G147" s="222">
        <v>631.57645000000002</v>
      </c>
      <c r="H147" s="222">
        <v>0</v>
      </c>
      <c r="I147" s="222">
        <v>0</v>
      </c>
      <c r="J147" s="214"/>
      <c r="K147" s="214"/>
      <c r="L147" s="214"/>
      <c r="M147" s="214"/>
      <c r="N147" s="214"/>
      <c r="O147" s="214"/>
      <c r="P147" s="214"/>
    </row>
    <row r="148" spans="1:16" ht="38.25">
      <c r="A148" s="220" t="s">
        <v>1230</v>
      </c>
      <c r="B148" s="220" t="s">
        <v>73</v>
      </c>
      <c r="C148" s="220" t="s">
        <v>236</v>
      </c>
      <c r="D148" s="220" t="s">
        <v>241</v>
      </c>
      <c r="E148" s="220" t="s">
        <v>369</v>
      </c>
      <c r="F148" s="221"/>
      <c r="G148" s="222">
        <v>264.8</v>
      </c>
      <c r="H148" s="222">
        <v>264.8</v>
      </c>
      <c r="I148" s="222">
        <v>324.8</v>
      </c>
      <c r="J148" s="214"/>
      <c r="K148" s="214"/>
      <c r="L148" s="214"/>
      <c r="M148" s="214"/>
      <c r="N148" s="214"/>
      <c r="O148" s="214"/>
      <c r="P148" s="214"/>
    </row>
    <row r="149" spans="1:16" ht="25.5">
      <c r="A149" s="220" t="s">
        <v>1237</v>
      </c>
      <c r="B149" s="220" t="s">
        <v>73</v>
      </c>
      <c r="C149" s="220" t="s">
        <v>236</v>
      </c>
      <c r="D149" s="220" t="s">
        <v>241</v>
      </c>
      <c r="E149" s="220" t="s">
        <v>370</v>
      </c>
      <c r="F149" s="221"/>
      <c r="G149" s="222">
        <v>64.8</v>
      </c>
      <c r="H149" s="222">
        <v>64.8</v>
      </c>
      <c r="I149" s="222">
        <v>124.8</v>
      </c>
      <c r="J149" s="214"/>
      <c r="K149" s="214"/>
      <c r="L149" s="214"/>
      <c r="M149" s="214"/>
      <c r="N149" s="214"/>
      <c r="O149" s="214"/>
      <c r="P149" s="214"/>
    </row>
    <row r="150" spans="1:16" ht="38.25">
      <c r="A150" s="220" t="s">
        <v>1238</v>
      </c>
      <c r="B150" s="220" t="s">
        <v>73</v>
      </c>
      <c r="C150" s="220" t="s">
        <v>236</v>
      </c>
      <c r="D150" s="220" t="s">
        <v>241</v>
      </c>
      <c r="E150" s="220" t="s">
        <v>371</v>
      </c>
      <c r="F150" s="221"/>
      <c r="G150" s="222">
        <v>64.8</v>
      </c>
      <c r="H150" s="222">
        <v>64.8</v>
      </c>
      <c r="I150" s="222">
        <v>124.8</v>
      </c>
      <c r="J150" s="214"/>
      <c r="K150" s="214"/>
      <c r="L150" s="214"/>
      <c r="M150" s="214"/>
      <c r="N150" s="214"/>
      <c r="O150" s="214"/>
      <c r="P150" s="214"/>
    </row>
    <row r="151" spans="1:16" ht="38.25">
      <c r="A151" s="220" t="s">
        <v>830</v>
      </c>
      <c r="B151" s="220" t="s">
        <v>73</v>
      </c>
      <c r="C151" s="220" t="s">
        <v>236</v>
      </c>
      <c r="D151" s="220" t="s">
        <v>241</v>
      </c>
      <c r="E151" s="220" t="s">
        <v>371</v>
      </c>
      <c r="F151" s="220" t="s">
        <v>315</v>
      </c>
      <c r="G151" s="222">
        <v>64.8</v>
      </c>
      <c r="H151" s="222">
        <v>64.8</v>
      </c>
      <c r="I151" s="222">
        <v>124.8</v>
      </c>
      <c r="J151" s="214"/>
      <c r="K151" s="214"/>
      <c r="L151" s="214"/>
      <c r="M151" s="214"/>
      <c r="N151" s="214"/>
      <c r="O151" s="214"/>
      <c r="P151" s="214"/>
    </row>
    <row r="152" spans="1:16" ht="38.25">
      <c r="A152" s="220" t="s">
        <v>1231</v>
      </c>
      <c r="B152" s="220" t="s">
        <v>73</v>
      </c>
      <c r="C152" s="220" t="s">
        <v>236</v>
      </c>
      <c r="D152" s="220" t="s">
        <v>241</v>
      </c>
      <c r="E152" s="220" t="s">
        <v>372</v>
      </c>
      <c r="F152" s="221"/>
      <c r="G152" s="222">
        <v>200</v>
      </c>
      <c r="H152" s="222">
        <v>200</v>
      </c>
      <c r="I152" s="222">
        <v>200</v>
      </c>
      <c r="J152" s="214"/>
      <c r="K152" s="214"/>
      <c r="L152" s="214"/>
      <c r="M152" s="214"/>
      <c r="N152" s="214"/>
      <c r="O152" s="214"/>
      <c r="P152" s="214"/>
    </row>
    <row r="153" spans="1:16" ht="25.5">
      <c r="A153" s="220" t="s">
        <v>859</v>
      </c>
      <c r="B153" s="220" t="s">
        <v>73</v>
      </c>
      <c r="C153" s="220" t="s">
        <v>236</v>
      </c>
      <c r="D153" s="220" t="s">
        <v>241</v>
      </c>
      <c r="E153" s="220" t="s">
        <v>1091</v>
      </c>
      <c r="F153" s="221"/>
      <c r="G153" s="222">
        <v>200</v>
      </c>
      <c r="H153" s="222">
        <v>200</v>
      </c>
      <c r="I153" s="222">
        <v>200</v>
      </c>
      <c r="J153" s="214"/>
      <c r="K153" s="214"/>
      <c r="L153" s="214"/>
      <c r="M153" s="214"/>
      <c r="N153" s="214"/>
      <c r="O153" s="214"/>
      <c r="P153" s="214"/>
    </row>
    <row r="154" spans="1:16" ht="38.25">
      <c r="A154" s="220" t="s">
        <v>830</v>
      </c>
      <c r="B154" s="220" t="s">
        <v>73</v>
      </c>
      <c r="C154" s="220" t="s">
        <v>236</v>
      </c>
      <c r="D154" s="220" t="s">
        <v>241</v>
      </c>
      <c r="E154" s="220" t="s">
        <v>1091</v>
      </c>
      <c r="F154" s="220" t="s">
        <v>315</v>
      </c>
      <c r="G154" s="222">
        <v>200</v>
      </c>
      <c r="H154" s="222">
        <v>200</v>
      </c>
      <c r="I154" s="222">
        <v>200</v>
      </c>
      <c r="J154" s="214"/>
      <c r="K154" s="214"/>
      <c r="L154" s="214"/>
      <c r="M154" s="214"/>
      <c r="N154" s="214"/>
      <c r="O154" s="214"/>
      <c r="P154" s="214"/>
    </row>
    <row r="155" spans="1:16" ht="38.25">
      <c r="A155" s="220" t="s">
        <v>589</v>
      </c>
      <c r="B155" s="220" t="s">
        <v>73</v>
      </c>
      <c r="C155" s="220" t="s">
        <v>236</v>
      </c>
      <c r="D155" s="220" t="s">
        <v>241</v>
      </c>
      <c r="E155" s="220" t="s">
        <v>505</v>
      </c>
      <c r="F155" s="221"/>
      <c r="G155" s="222">
        <v>73.177459999999996</v>
      </c>
      <c r="H155" s="222">
        <v>0</v>
      </c>
      <c r="I155" s="222">
        <v>0</v>
      </c>
      <c r="J155" s="214"/>
      <c r="K155" s="214"/>
      <c r="L155" s="214"/>
      <c r="M155" s="214"/>
      <c r="N155" s="214"/>
      <c r="O155" s="214"/>
      <c r="P155" s="214"/>
    </row>
    <row r="156" spans="1:16">
      <c r="A156" s="220" t="s">
        <v>574</v>
      </c>
      <c r="B156" s="220" t="s">
        <v>73</v>
      </c>
      <c r="C156" s="220" t="s">
        <v>236</v>
      </c>
      <c r="D156" s="220" t="s">
        <v>241</v>
      </c>
      <c r="E156" s="220" t="s">
        <v>506</v>
      </c>
      <c r="F156" s="221"/>
      <c r="G156" s="222">
        <v>73.177459999999996</v>
      </c>
      <c r="H156" s="222">
        <v>0</v>
      </c>
      <c r="I156" s="222">
        <v>0</v>
      </c>
      <c r="J156" s="214"/>
      <c r="K156" s="214"/>
      <c r="L156" s="214"/>
      <c r="M156" s="214"/>
      <c r="N156" s="214"/>
      <c r="O156" s="214"/>
      <c r="P156" s="214"/>
    </row>
    <row r="157" spans="1:16" ht="25.5">
      <c r="A157" s="220" t="s">
        <v>1331</v>
      </c>
      <c r="B157" s="220" t="s">
        <v>73</v>
      </c>
      <c r="C157" s="220" t="s">
        <v>236</v>
      </c>
      <c r="D157" s="220" t="s">
        <v>241</v>
      </c>
      <c r="E157" s="220" t="s">
        <v>1323</v>
      </c>
      <c r="F157" s="221"/>
      <c r="G157" s="222">
        <v>73.177459999999996</v>
      </c>
      <c r="H157" s="222">
        <v>0</v>
      </c>
      <c r="I157" s="222">
        <v>0</v>
      </c>
      <c r="J157" s="214"/>
      <c r="K157" s="214"/>
      <c r="L157" s="214"/>
      <c r="M157" s="214"/>
      <c r="N157" s="214"/>
      <c r="O157" s="214"/>
      <c r="P157" s="214"/>
    </row>
    <row r="158" spans="1:16" ht="38.25">
      <c r="A158" s="220" t="s">
        <v>830</v>
      </c>
      <c r="B158" s="220" t="s">
        <v>73</v>
      </c>
      <c r="C158" s="220" t="s">
        <v>236</v>
      </c>
      <c r="D158" s="220" t="s">
        <v>241</v>
      </c>
      <c r="E158" s="220" t="s">
        <v>1323</v>
      </c>
      <c r="F158" s="220" t="s">
        <v>315</v>
      </c>
      <c r="G158" s="222">
        <v>73.177459999999996</v>
      </c>
      <c r="H158" s="222">
        <v>0</v>
      </c>
      <c r="I158" s="222">
        <v>0</v>
      </c>
      <c r="J158" s="214"/>
      <c r="K158" s="214"/>
      <c r="L158" s="214"/>
      <c r="M158" s="214"/>
      <c r="N158" s="214"/>
      <c r="O158" s="214"/>
      <c r="P158" s="214"/>
    </row>
    <row r="159" spans="1:16">
      <c r="A159" s="220" t="s">
        <v>556</v>
      </c>
      <c r="B159" s="220" t="s">
        <v>73</v>
      </c>
      <c r="C159" s="220" t="s">
        <v>236</v>
      </c>
      <c r="D159" s="220" t="s">
        <v>236</v>
      </c>
      <c r="E159" s="221"/>
      <c r="F159" s="221"/>
      <c r="G159" s="222">
        <v>2059.9</v>
      </c>
      <c r="H159" s="222">
        <v>2059.9</v>
      </c>
      <c r="I159" s="222">
        <v>2059.9</v>
      </c>
      <c r="J159" s="214"/>
      <c r="K159" s="214"/>
      <c r="L159" s="214"/>
      <c r="M159" s="214"/>
      <c r="N159" s="214"/>
      <c r="O159" s="214"/>
      <c r="P159" s="214"/>
    </row>
    <row r="160" spans="1:16" ht="51">
      <c r="A160" s="220" t="s">
        <v>1241</v>
      </c>
      <c r="B160" s="220" t="s">
        <v>73</v>
      </c>
      <c r="C160" s="220" t="s">
        <v>236</v>
      </c>
      <c r="D160" s="220" t="s">
        <v>236</v>
      </c>
      <c r="E160" s="220" t="s">
        <v>393</v>
      </c>
      <c r="F160" s="221"/>
      <c r="G160" s="222">
        <v>2059.9</v>
      </c>
      <c r="H160" s="222">
        <v>2059.9</v>
      </c>
      <c r="I160" s="222">
        <v>2059.9</v>
      </c>
      <c r="J160" s="214"/>
      <c r="K160" s="214"/>
      <c r="L160" s="214"/>
      <c r="M160" s="214"/>
      <c r="N160" s="214"/>
      <c r="O160" s="214"/>
      <c r="P160" s="214"/>
    </row>
    <row r="161" spans="1:16" ht="25.5">
      <c r="A161" s="220" t="s">
        <v>544</v>
      </c>
      <c r="B161" s="220" t="s">
        <v>73</v>
      </c>
      <c r="C161" s="220" t="s">
        <v>236</v>
      </c>
      <c r="D161" s="220" t="s">
        <v>236</v>
      </c>
      <c r="E161" s="220" t="s">
        <v>396</v>
      </c>
      <c r="F161" s="221"/>
      <c r="G161" s="222">
        <v>2059.9</v>
      </c>
      <c r="H161" s="222">
        <v>2059.9</v>
      </c>
      <c r="I161" s="222">
        <v>2059.9</v>
      </c>
      <c r="J161" s="214"/>
      <c r="K161" s="214"/>
      <c r="L161" s="214"/>
      <c r="M161" s="214"/>
      <c r="N161" s="214"/>
      <c r="O161" s="214"/>
      <c r="P161" s="214"/>
    </row>
    <row r="162" spans="1:16" ht="25.5">
      <c r="A162" s="220" t="s">
        <v>837</v>
      </c>
      <c r="B162" s="220" t="s">
        <v>73</v>
      </c>
      <c r="C162" s="220" t="s">
        <v>236</v>
      </c>
      <c r="D162" s="220" t="s">
        <v>236</v>
      </c>
      <c r="E162" s="220" t="s">
        <v>1126</v>
      </c>
      <c r="F162" s="221"/>
      <c r="G162" s="222">
        <v>2059.9</v>
      </c>
      <c r="H162" s="222">
        <v>2059.9</v>
      </c>
      <c r="I162" s="222">
        <v>2059.9</v>
      </c>
      <c r="J162" s="214"/>
      <c r="K162" s="214"/>
      <c r="L162" s="214"/>
      <c r="M162" s="214"/>
      <c r="N162" s="214"/>
      <c r="O162" s="214"/>
      <c r="P162" s="214"/>
    </row>
    <row r="163" spans="1:16" ht="76.5">
      <c r="A163" s="220" t="s">
        <v>861</v>
      </c>
      <c r="B163" s="220" t="s">
        <v>73</v>
      </c>
      <c r="C163" s="220" t="s">
        <v>236</v>
      </c>
      <c r="D163" s="220" t="s">
        <v>236</v>
      </c>
      <c r="E163" s="220" t="s">
        <v>1131</v>
      </c>
      <c r="F163" s="221"/>
      <c r="G163" s="222">
        <v>168</v>
      </c>
      <c r="H163" s="222">
        <v>168</v>
      </c>
      <c r="I163" s="222">
        <v>168</v>
      </c>
      <c r="J163" s="214"/>
      <c r="K163" s="214"/>
      <c r="L163" s="214"/>
      <c r="M163" s="214"/>
      <c r="N163" s="214"/>
      <c r="O163" s="214"/>
      <c r="P163" s="214"/>
    </row>
    <row r="164" spans="1:16" ht="38.25">
      <c r="A164" s="220" t="s">
        <v>830</v>
      </c>
      <c r="B164" s="220" t="s">
        <v>73</v>
      </c>
      <c r="C164" s="220" t="s">
        <v>236</v>
      </c>
      <c r="D164" s="220" t="s">
        <v>236</v>
      </c>
      <c r="E164" s="220" t="s">
        <v>1131</v>
      </c>
      <c r="F164" s="220" t="s">
        <v>315</v>
      </c>
      <c r="G164" s="222">
        <v>168</v>
      </c>
      <c r="H164" s="222">
        <v>168</v>
      </c>
      <c r="I164" s="222">
        <v>168</v>
      </c>
      <c r="J164" s="214"/>
      <c r="K164" s="214"/>
      <c r="L164" s="214"/>
      <c r="M164" s="214"/>
      <c r="N164" s="214"/>
      <c r="O164" s="214"/>
      <c r="P164" s="214"/>
    </row>
    <row r="165" spans="1:16" ht="51">
      <c r="A165" s="220" t="s">
        <v>1017</v>
      </c>
      <c r="B165" s="220" t="s">
        <v>73</v>
      </c>
      <c r="C165" s="220" t="s">
        <v>236</v>
      </c>
      <c r="D165" s="220" t="s">
        <v>236</v>
      </c>
      <c r="E165" s="220" t="s">
        <v>1132</v>
      </c>
      <c r="F165" s="221"/>
      <c r="G165" s="222">
        <v>1891.9</v>
      </c>
      <c r="H165" s="222">
        <v>1891.9</v>
      </c>
      <c r="I165" s="222">
        <v>1891.9</v>
      </c>
      <c r="J165" s="214"/>
      <c r="K165" s="214"/>
      <c r="L165" s="214"/>
      <c r="M165" s="214"/>
      <c r="N165" s="214"/>
      <c r="O165" s="214"/>
      <c r="P165" s="214"/>
    </row>
    <row r="166" spans="1:16" ht="38.25">
      <c r="A166" s="220" t="s">
        <v>830</v>
      </c>
      <c r="B166" s="220" t="s">
        <v>73</v>
      </c>
      <c r="C166" s="220" t="s">
        <v>236</v>
      </c>
      <c r="D166" s="220" t="s">
        <v>236</v>
      </c>
      <c r="E166" s="220" t="s">
        <v>1132</v>
      </c>
      <c r="F166" s="220" t="s">
        <v>315</v>
      </c>
      <c r="G166" s="222">
        <v>1891.9</v>
      </c>
      <c r="H166" s="222">
        <v>1891.9</v>
      </c>
      <c r="I166" s="222">
        <v>1891.9</v>
      </c>
      <c r="J166" s="214"/>
      <c r="K166" s="214"/>
      <c r="L166" s="214"/>
      <c r="M166" s="214"/>
      <c r="N166" s="214"/>
      <c r="O166" s="214"/>
      <c r="P166" s="214"/>
    </row>
    <row r="167" spans="1:16">
      <c r="A167" s="220" t="s">
        <v>557</v>
      </c>
      <c r="B167" s="220" t="s">
        <v>73</v>
      </c>
      <c r="C167" s="220" t="s">
        <v>236</v>
      </c>
      <c r="D167" s="220" t="s">
        <v>240</v>
      </c>
      <c r="E167" s="221"/>
      <c r="F167" s="221"/>
      <c r="G167" s="222">
        <v>23064.769</v>
      </c>
      <c r="H167" s="222">
        <v>22870.934519999999</v>
      </c>
      <c r="I167" s="222">
        <v>22870.934519999999</v>
      </c>
      <c r="J167" s="214"/>
      <c r="K167" s="214"/>
      <c r="L167" s="214"/>
      <c r="M167" s="214"/>
      <c r="N167" s="214"/>
      <c r="O167" s="214"/>
      <c r="P167" s="214"/>
    </row>
    <row r="168" spans="1:16" ht="38.25">
      <c r="A168" s="220" t="s">
        <v>542</v>
      </c>
      <c r="B168" s="220" t="s">
        <v>73</v>
      </c>
      <c r="C168" s="220" t="s">
        <v>236</v>
      </c>
      <c r="D168" s="220" t="s">
        <v>240</v>
      </c>
      <c r="E168" s="220" t="s">
        <v>351</v>
      </c>
      <c r="F168" s="221"/>
      <c r="G168" s="222">
        <v>22934.769</v>
      </c>
      <c r="H168" s="222">
        <v>22740.934519999999</v>
      </c>
      <c r="I168" s="222">
        <v>22740.934519999999</v>
      </c>
      <c r="J168" s="214"/>
      <c r="K168" s="214"/>
      <c r="L168" s="214"/>
      <c r="M168" s="214"/>
      <c r="N168" s="214"/>
      <c r="O168" s="214"/>
      <c r="P168" s="214"/>
    </row>
    <row r="169" spans="1:16" ht="63.75">
      <c r="A169" s="220" t="s">
        <v>1242</v>
      </c>
      <c r="B169" s="220" t="s">
        <v>73</v>
      </c>
      <c r="C169" s="220" t="s">
        <v>236</v>
      </c>
      <c r="D169" s="220" t="s">
        <v>240</v>
      </c>
      <c r="E169" s="220" t="s">
        <v>365</v>
      </c>
      <c r="F169" s="221"/>
      <c r="G169" s="222">
        <v>22934.769</v>
      </c>
      <c r="H169" s="222">
        <v>22740.934519999999</v>
      </c>
      <c r="I169" s="222">
        <v>22740.934519999999</v>
      </c>
      <c r="J169" s="214"/>
      <c r="K169" s="214"/>
      <c r="L169" s="214"/>
      <c r="M169" s="214"/>
      <c r="N169" s="214"/>
      <c r="O169" s="214"/>
      <c r="P169" s="214"/>
    </row>
    <row r="170" spans="1:16" ht="38.25">
      <c r="A170" s="220" t="s">
        <v>862</v>
      </c>
      <c r="B170" s="220" t="s">
        <v>73</v>
      </c>
      <c r="C170" s="220" t="s">
        <v>236</v>
      </c>
      <c r="D170" s="220" t="s">
        <v>240</v>
      </c>
      <c r="E170" s="220" t="s">
        <v>366</v>
      </c>
      <c r="F170" s="221"/>
      <c r="G170" s="222">
        <v>17216.242999999999</v>
      </c>
      <c r="H170" s="222">
        <v>17211.14863</v>
      </c>
      <c r="I170" s="222">
        <v>17211.14863</v>
      </c>
      <c r="J170" s="214"/>
      <c r="K170" s="214"/>
      <c r="L170" s="214"/>
      <c r="M170" s="214"/>
      <c r="N170" s="214"/>
      <c r="O170" s="214"/>
      <c r="P170" s="214"/>
    </row>
    <row r="171" spans="1:16" ht="51">
      <c r="A171" s="220" t="s">
        <v>863</v>
      </c>
      <c r="B171" s="220" t="s">
        <v>73</v>
      </c>
      <c r="C171" s="220" t="s">
        <v>236</v>
      </c>
      <c r="D171" s="220" t="s">
        <v>240</v>
      </c>
      <c r="E171" s="220" t="s">
        <v>367</v>
      </c>
      <c r="F171" s="221"/>
      <c r="G171" s="222">
        <v>14072.388999999999</v>
      </c>
      <c r="H171" s="222">
        <v>14091.973</v>
      </c>
      <c r="I171" s="222">
        <v>14091.973</v>
      </c>
      <c r="J171" s="214"/>
      <c r="K171" s="214"/>
      <c r="L171" s="214"/>
      <c r="M171" s="214"/>
      <c r="N171" s="214"/>
      <c r="O171" s="214"/>
      <c r="P171" s="214"/>
    </row>
    <row r="172" spans="1:16" ht="76.5">
      <c r="A172" s="220" t="s">
        <v>848</v>
      </c>
      <c r="B172" s="220" t="s">
        <v>73</v>
      </c>
      <c r="C172" s="220" t="s">
        <v>236</v>
      </c>
      <c r="D172" s="220" t="s">
        <v>240</v>
      </c>
      <c r="E172" s="220" t="s">
        <v>367</v>
      </c>
      <c r="F172" s="220" t="s">
        <v>312</v>
      </c>
      <c r="G172" s="222">
        <v>12859.438</v>
      </c>
      <c r="H172" s="222">
        <v>12859.438</v>
      </c>
      <c r="I172" s="222">
        <v>12859.438</v>
      </c>
      <c r="J172" s="214"/>
      <c r="K172" s="214"/>
      <c r="L172" s="214"/>
      <c r="M172" s="214"/>
      <c r="N172" s="214"/>
      <c r="O172" s="214"/>
      <c r="P172" s="214"/>
    </row>
    <row r="173" spans="1:16" ht="38.25">
      <c r="A173" s="220" t="s">
        <v>833</v>
      </c>
      <c r="B173" s="220" t="s">
        <v>73</v>
      </c>
      <c r="C173" s="220" t="s">
        <v>236</v>
      </c>
      <c r="D173" s="220" t="s">
        <v>240</v>
      </c>
      <c r="E173" s="220" t="s">
        <v>367</v>
      </c>
      <c r="F173" s="220" t="s">
        <v>313</v>
      </c>
      <c r="G173" s="222">
        <v>1212.951</v>
      </c>
      <c r="H173" s="222">
        <v>1232.5350000000001</v>
      </c>
      <c r="I173" s="222">
        <v>1232.5350000000001</v>
      </c>
      <c r="J173" s="214"/>
      <c r="K173" s="214"/>
      <c r="L173" s="214"/>
      <c r="M173" s="214"/>
      <c r="N173" s="214"/>
      <c r="O173" s="214"/>
      <c r="P173" s="214"/>
    </row>
    <row r="174" spans="1:16" ht="38.25">
      <c r="A174" s="220" t="s">
        <v>864</v>
      </c>
      <c r="B174" s="220" t="s">
        <v>73</v>
      </c>
      <c r="C174" s="220" t="s">
        <v>236</v>
      </c>
      <c r="D174" s="220" t="s">
        <v>240</v>
      </c>
      <c r="E174" s="220" t="s">
        <v>368</v>
      </c>
      <c r="F174" s="221"/>
      <c r="G174" s="222">
        <v>3143.8539999999998</v>
      </c>
      <c r="H174" s="222">
        <v>3119.1756300000002</v>
      </c>
      <c r="I174" s="222">
        <v>3119.1756300000002</v>
      </c>
      <c r="J174" s="214"/>
      <c r="K174" s="214"/>
      <c r="L174" s="214"/>
      <c r="M174" s="214"/>
      <c r="N174" s="214"/>
      <c r="O174" s="214"/>
      <c r="P174" s="214"/>
    </row>
    <row r="175" spans="1:16" ht="76.5">
      <c r="A175" s="220" t="s">
        <v>848</v>
      </c>
      <c r="B175" s="220" t="s">
        <v>73</v>
      </c>
      <c r="C175" s="220" t="s">
        <v>236</v>
      </c>
      <c r="D175" s="220" t="s">
        <v>240</v>
      </c>
      <c r="E175" s="220" t="s">
        <v>368</v>
      </c>
      <c r="F175" s="220" t="s">
        <v>312</v>
      </c>
      <c r="G175" s="222">
        <v>2738.3249999999998</v>
      </c>
      <c r="H175" s="222">
        <v>2713.6466300000002</v>
      </c>
      <c r="I175" s="222">
        <v>2713.6466300000002</v>
      </c>
      <c r="J175" s="214"/>
      <c r="K175" s="214"/>
      <c r="L175" s="214"/>
      <c r="M175" s="214"/>
      <c r="N175" s="214"/>
      <c r="O175" s="214"/>
      <c r="P175" s="214"/>
    </row>
    <row r="176" spans="1:16" ht="38.25">
      <c r="A176" s="220" t="s">
        <v>833</v>
      </c>
      <c r="B176" s="220" t="s">
        <v>73</v>
      </c>
      <c r="C176" s="220" t="s">
        <v>236</v>
      </c>
      <c r="D176" s="220" t="s">
        <v>240</v>
      </c>
      <c r="E176" s="220" t="s">
        <v>368</v>
      </c>
      <c r="F176" s="220" t="s">
        <v>313</v>
      </c>
      <c r="G176" s="222">
        <v>404.35899999999998</v>
      </c>
      <c r="H176" s="222">
        <v>404.35899999999998</v>
      </c>
      <c r="I176" s="222">
        <v>404.35899999999998</v>
      </c>
      <c r="J176" s="214"/>
      <c r="K176" s="214"/>
      <c r="L176" s="214"/>
      <c r="M176" s="214"/>
      <c r="N176" s="214"/>
      <c r="O176" s="214"/>
      <c r="P176" s="214"/>
    </row>
    <row r="177" spans="1:16">
      <c r="A177" s="220" t="s">
        <v>849</v>
      </c>
      <c r="B177" s="220" t="s">
        <v>73</v>
      </c>
      <c r="C177" s="220" t="s">
        <v>236</v>
      </c>
      <c r="D177" s="220" t="s">
        <v>240</v>
      </c>
      <c r="E177" s="220" t="s">
        <v>368</v>
      </c>
      <c r="F177" s="220" t="s">
        <v>314</v>
      </c>
      <c r="G177" s="222">
        <v>1.17</v>
      </c>
      <c r="H177" s="222">
        <v>1.17</v>
      </c>
      <c r="I177" s="222">
        <v>1.17</v>
      </c>
      <c r="J177" s="214"/>
      <c r="K177" s="214"/>
      <c r="L177" s="214"/>
      <c r="M177" s="214"/>
      <c r="N177" s="214"/>
      <c r="O177" s="214"/>
      <c r="P177" s="214"/>
    </row>
    <row r="178" spans="1:16" ht="51">
      <c r="A178" s="220" t="s">
        <v>1234</v>
      </c>
      <c r="B178" s="220" t="s">
        <v>73</v>
      </c>
      <c r="C178" s="220" t="s">
        <v>236</v>
      </c>
      <c r="D178" s="220" t="s">
        <v>240</v>
      </c>
      <c r="E178" s="220" t="s">
        <v>1080</v>
      </c>
      <c r="F178" s="221"/>
      <c r="G178" s="222">
        <v>5718.5259999999998</v>
      </c>
      <c r="H178" s="222">
        <v>5529.7858900000001</v>
      </c>
      <c r="I178" s="222">
        <v>5529.7858900000001</v>
      </c>
      <c r="J178" s="214"/>
      <c r="K178" s="214"/>
      <c r="L178" s="214"/>
      <c r="M178" s="214"/>
      <c r="N178" s="214"/>
      <c r="O178" s="214"/>
      <c r="P178" s="214"/>
    </row>
    <row r="179" spans="1:16" ht="51">
      <c r="A179" s="220" t="s">
        <v>1235</v>
      </c>
      <c r="B179" s="220" t="s">
        <v>73</v>
      </c>
      <c r="C179" s="220" t="s">
        <v>236</v>
      </c>
      <c r="D179" s="220" t="s">
        <v>240</v>
      </c>
      <c r="E179" s="220" t="s">
        <v>1082</v>
      </c>
      <c r="F179" s="221"/>
      <c r="G179" s="222">
        <v>5685.1260000000002</v>
      </c>
      <c r="H179" s="222">
        <v>5496.3858899999996</v>
      </c>
      <c r="I179" s="222">
        <v>5496.3858899999996</v>
      </c>
      <c r="J179" s="214"/>
      <c r="K179" s="214"/>
      <c r="L179" s="214"/>
      <c r="M179" s="214"/>
      <c r="N179" s="214"/>
      <c r="O179" s="214"/>
      <c r="P179" s="214"/>
    </row>
    <row r="180" spans="1:16" ht="76.5">
      <c r="A180" s="220" t="s">
        <v>848</v>
      </c>
      <c r="B180" s="220" t="s">
        <v>73</v>
      </c>
      <c r="C180" s="220" t="s">
        <v>236</v>
      </c>
      <c r="D180" s="220" t="s">
        <v>240</v>
      </c>
      <c r="E180" s="220" t="s">
        <v>1082</v>
      </c>
      <c r="F180" s="220" t="s">
        <v>312</v>
      </c>
      <c r="G180" s="222">
        <v>5162.0280000000002</v>
      </c>
      <c r="H180" s="222">
        <v>4914.88789</v>
      </c>
      <c r="I180" s="222">
        <v>4914.88789</v>
      </c>
      <c r="J180" s="214"/>
      <c r="K180" s="214"/>
      <c r="L180" s="214"/>
      <c r="M180" s="214"/>
      <c r="N180" s="214"/>
      <c r="O180" s="214"/>
      <c r="P180" s="214"/>
    </row>
    <row r="181" spans="1:16" ht="38.25">
      <c r="A181" s="220" t="s">
        <v>833</v>
      </c>
      <c r="B181" s="220" t="s">
        <v>73</v>
      </c>
      <c r="C181" s="220" t="s">
        <v>236</v>
      </c>
      <c r="D181" s="220" t="s">
        <v>240</v>
      </c>
      <c r="E181" s="220" t="s">
        <v>1082</v>
      </c>
      <c r="F181" s="220" t="s">
        <v>313</v>
      </c>
      <c r="G181" s="222">
        <v>520.38300000000004</v>
      </c>
      <c r="H181" s="222">
        <v>578.78300000000002</v>
      </c>
      <c r="I181" s="222">
        <v>578.78300000000002</v>
      </c>
      <c r="J181" s="214"/>
      <c r="K181" s="214"/>
      <c r="L181" s="214"/>
      <c r="M181" s="214"/>
      <c r="N181" s="214"/>
      <c r="O181" s="214"/>
      <c r="P181" s="214"/>
    </row>
    <row r="182" spans="1:16">
      <c r="A182" s="220" t="s">
        <v>849</v>
      </c>
      <c r="B182" s="220" t="s">
        <v>73</v>
      </c>
      <c r="C182" s="220" t="s">
        <v>236</v>
      </c>
      <c r="D182" s="220" t="s">
        <v>240</v>
      </c>
      <c r="E182" s="220" t="s">
        <v>1082</v>
      </c>
      <c r="F182" s="220" t="s">
        <v>314</v>
      </c>
      <c r="G182" s="222">
        <v>2.7149999999999999</v>
      </c>
      <c r="H182" s="222">
        <v>2.7149999999999999</v>
      </c>
      <c r="I182" s="222">
        <v>2.7149999999999999</v>
      </c>
      <c r="J182" s="214"/>
      <c r="K182" s="214"/>
      <c r="L182" s="214"/>
      <c r="M182" s="214"/>
      <c r="N182" s="214"/>
      <c r="O182" s="214"/>
      <c r="P182" s="214"/>
    </row>
    <row r="183" spans="1:16" ht="76.5">
      <c r="A183" s="220" t="s">
        <v>1236</v>
      </c>
      <c r="B183" s="220" t="s">
        <v>73</v>
      </c>
      <c r="C183" s="220" t="s">
        <v>236</v>
      </c>
      <c r="D183" s="220" t="s">
        <v>240</v>
      </c>
      <c r="E183" s="220" t="s">
        <v>1084</v>
      </c>
      <c r="F183" s="221"/>
      <c r="G183" s="222">
        <v>33.4</v>
      </c>
      <c r="H183" s="222">
        <v>33.4</v>
      </c>
      <c r="I183" s="222">
        <v>33.4</v>
      </c>
      <c r="J183" s="214"/>
      <c r="K183" s="214"/>
      <c r="L183" s="214"/>
      <c r="M183" s="214"/>
      <c r="N183" s="214"/>
      <c r="O183" s="214"/>
      <c r="P183" s="214"/>
    </row>
    <row r="184" spans="1:16" ht="38.25">
      <c r="A184" s="220" t="s">
        <v>833</v>
      </c>
      <c r="B184" s="220" t="s">
        <v>73</v>
      </c>
      <c r="C184" s="220" t="s">
        <v>236</v>
      </c>
      <c r="D184" s="220" t="s">
        <v>240</v>
      </c>
      <c r="E184" s="220" t="s">
        <v>1084</v>
      </c>
      <c r="F184" s="220" t="s">
        <v>313</v>
      </c>
      <c r="G184" s="222">
        <v>33.4</v>
      </c>
      <c r="H184" s="222">
        <v>33.4</v>
      </c>
      <c r="I184" s="222">
        <v>33.4</v>
      </c>
      <c r="J184" s="214"/>
      <c r="K184" s="214"/>
      <c r="L184" s="214"/>
      <c r="M184" s="214"/>
      <c r="N184" s="214"/>
      <c r="O184" s="214"/>
      <c r="P184" s="214"/>
    </row>
    <row r="185" spans="1:16" ht="51">
      <c r="A185" s="220" t="s">
        <v>1241</v>
      </c>
      <c r="B185" s="220" t="s">
        <v>73</v>
      </c>
      <c r="C185" s="220" t="s">
        <v>236</v>
      </c>
      <c r="D185" s="220" t="s">
        <v>240</v>
      </c>
      <c r="E185" s="220" t="s">
        <v>393</v>
      </c>
      <c r="F185" s="221"/>
      <c r="G185" s="222">
        <v>130</v>
      </c>
      <c r="H185" s="222">
        <v>130</v>
      </c>
      <c r="I185" s="222">
        <v>130</v>
      </c>
      <c r="J185" s="214"/>
      <c r="K185" s="214"/>
      <c r="L185" s="214"/>
      <c r="M185" s="214"/>
      <c r="N185" s="214"/>
      <c r="O185" s="214"/>
      <c r="P185" s="214"/>
    </row>
    <row r="186" spans="1:16" ht="38.25">
      <c r="A186" s="220" t="s">
        <v>1243</v>
      </c>
      <c r="B186" s="220" t="s">
        <v>73</v>
      </c>
      <c r="C186" s="220" t="s">
        <v>236</v>
      </c>
      <c r="D186" s="220" t="s">
        <v>240</v>
      </c>
      <c r="E186" s="220" t="s">
        <v>394</v>
      </c>
      <c r="F186" s="221"/>
      <c r="G186" s="222">
        <v>130</v>
      </c>
      <c r="H186" s="222">
        <v>130</v>
      </c>
      <c r="I186" s="222">
        <v>130</v>
      </c>
      <c r="J186" s="214"/>
      <c r="K186" s="214"/>
      <c r="L186" s="214"/>
      <c r="M186" s="214"/>
      <c r="N186" s="214"/>
      <c r="O186" s="214"/>
      <c r="P186" s="214"/>
    </row>
    <row r="187" spans="1:16" ht="51">
      <c r="A187" s="220" t="s">
        <v>1244</v>
      </c>
      <c r="B187" s="220" t="s">
        <v>73</v>
      </c>
      <c r="C187" s="220" t="s">
        <v>236</v>
      </c>
      <c r="D187" s="220" t="s">
        <v>240</v>
      </c>
      <c r="E187" s="220" t="s">
        <v>395</v>
      </c>
      <c r="F187" s="221"/>
      <c r="G187" s="222">
        <v>130</v>
      </c>
      <c r="H187" s="222">
        <v>130</v>
      </c>
      <c r="I187" s="222">
        <v>130</v>
      </c>
      <c r="J187" s="214"/>
      <c r="K187" s="214"/>
      <c r="L187" s="214"/>
      <c r="M187" s="214"/>
      <c r="N187" s="214"/>
      <c r="O187" s="214"/>
      <c r="P187" s="214"/>
    </row>
    <row r="188" spans="1:16" ht="38.25">
      <c r="A188" s="220" t="s">
        <v>1001</v>
      </c>
      <c r="B188" s="220" t="s">
        <v>73</v>
      </c>
      <c r="C188" s="220" t="s">
        <v>236</v>
      </c>
      <c r="D188" s="220" t="s">
        <v>240</v>
      </c>
      <c r="E188" s="220" t="s">
        <v>1118</v>
      </c>
      <c r="F188" s="221"/>
      <c r="G188" s="222">
        <v>130</v>
      </c>
      <c r="H188" s="222">
        <v>130</v>
      </c>
      <c r="I188" s="222">
        <v>130</v>
      </c>
      <c r="J188" s="214"/>
      <c r="K188" s="214"/>
      <c r="L188" s="214"/>
      <c r="M188" s="214"/>
      <c r="N188" s="214"/>
      <c r="O188" s="214"/>
      <c r="P188" s="214"/>
    </row>
    <row r="189" spans="1:16" ht="38.25">
      <c r="A189" s="220" t="s">
        <v>833</v>
      </c>
      <c r="B189" s="220" t="s">
        <v>73</v>
      </c>
      <c r="C189" s="220" t="s">
        <v>236</v>
      </c>
      <c r="D189" s="220" t="s">
        <v>240</v>
      </c>
      <c r="E189" s="220" t="s">
        <v>1118</v>
      </c>
      <c r="F189" s="220" t="s">
        <v>313</v>
      </c>
      <c r="G189" s="222">
        <v>130</v>
      </c>
      <c r="H189" s="222">
        <v>130</v>
      </c>
      <c r="I189" s="222">
        <v>130</v>
      </c>
      <c r="J189" s="214"/>
      <c r="K189" s="214"/>
      <c r="L189" s="214"/>
      <c r="M189" s="214"/>
      <c r="N189" s="214"/>
      <c r="O189" s="214"/>
      <c r="P189" s="214"/>
    </row>
    <row r="190" spans="1:16">
      <c r="A190" s="220" t="s">
        <v>558</v>
      </c>
      <c r="B190" s="220" t="s">
        <v>73</v>
      </c>
      <c r="C190" s="220" t="s">
        <v>242</v>
      </c>
      <c r="D190" s="221"/>
      <c r="E190" s="221"/>
      <c r="F190" s="221"/>
      <c r="G190" s="222">
        <v>4554.1022400000002</v>
      </c>
      <c r="H190" s="222">
        <v>4682.5066100000004</v>
      </c>
      <c r="I190" s="222">
        <v>4682.5066100000004</v>
      </c>
      <c r="J190" s="214"/>
      <c r="K190" s="214"/>
      <c r="L190" s="214"/>
      <c r="M190" s="214"/>
      <c r="N190" s="214"/>
      <c r="O190" s="214"/>
      <c r="P190" s="214"/>
    </row>
    <row r="191" spans="1:16">
      <c r="A191" s="220" t="s">
        <v>559</v>
      </c>
      <c r="B191" s="220" t="s">
        <v>73</v>
      </c>
      <c r="C191" s="220" t="s">
        <v>242</v>
      </c>
      <c r="D191" s="220" t="s">
        <v>234</v>
      </c>
      <c r="E191" s="221"/>
      <c r="F191" s="221"/>
      <c r="G191" s="222">
        <v>4554.1022400000002</v>
      </c>
      <c r="H191" s="222">
        <v>4682.5066100000004</v>
      </c>
      <c r="I191" s="222">
        <v>4682.5066100000004</v>
      </c>
      <c r="J191" s="214"/>
      <c r="K191" s="214"/>
      <c r="L191" s="214"/>
      <c r="M191" s="214"/>
      <c r="N191" s="214"/>
      <c r="O191" s="214"/>
      <c r="P191" s="214"/>
    </row>
    <row r="192" spans="1:16" ht="38.25">
      <c r="A192" s="220" t="s">
        <v>542</v>
      </c>
      <c r="B192" s="220" t="s">
        <v>73</v>
      </c>
      <c r="C192" s="220" t="s">
        <v>242</v>
      </c>
      <c r="D192" s="220" t="s">
        <v>234</v>
      </c>
      <c r="E192" s="220" t="s">
        <v>351</v>
      </c>
      <c r="F192" s="221"/>
      <c r="G192" s="222">
        <v>4554.1022400000002</v>
      </c>
      <c r="H192" s="222">
        <v>4682.5066100000004</v>
      </c>
      <c r="I192" s="222">
        <v>4682.5066100000004</v>
      </c>
      <c r="J192" s="214"/>
      <c r="K192" s="214"/>
      <c r="L192" s="214"/>
      <c r="M192" s="214"/>
      <c r="N192" s="214"/>
      <c r="O192" s="214"/>
      <c r="P192" s="214"/>
    </row>
    <row r="193" spans="1:16" ht="38.25">
      <c r="A193" s="220" t="s">
        <v>1230</v>
      </c>
      <c r="B193" s="220" t="s">
        <v>73</v>
      </c>
      <c r="C193" s="220" t="s">
        <v>242</v>
      </c>
      <c r="D193" s="220" t="s">
        <v>234</v>
      </c>
      <c r="E193" s="220" t="s">
        <v>369</v>
      </c>
      <c r="F193" s="221"/>
      <c r="G193" s="222">
        <v>4554.1022400000002</v>
      </c>
      <c r="H193" s="222">
        <v>4682.5066100000004</v>
      </c>
      <c r="I193" s="222">
        <v>4682.5066100000004</v>
      </c>
      <c r="J193" s="214"/>
      <c r="K193" s="214"/>
      <c r="L193" s="214"/>
      <c r="M193" s="214"/>
      <c r="N193" s="214"/>
      <c r="O193" s="214"/>
      <c r="P193" s="214"/>
    </row>
    <row r="194" spans="1:16" ht="51">
      <c r="A194" s="220" t="s">
        <v>856</v>
      </c>
      <c r="B194" s="220" t="s">
        <v>73</v>
      </c>
      <c r="C194" s="220" t="s">
        <v>242</v>
      </c>
      <c r="D194" s="220" t="s">
        <v>234</v>
      </c>
      <c r="E194" s="220" t="s">
        <v>939</v>
      </c>
      <c r="F194" s="221"/>
      <c r="G194" s="222">
        <v>4554.1022400000002</v>
      </c>
      <c r="H194" s="222">
        <v>4682.5066100000004</v>
      </c>
      <c r="I194" s="222">
        <v>4682.5066100000004</v>
      </c>
      <c r="J194" s="214"/>
      <c r="K194" s="214"/>
      <c r="L194" s="214"/>
      <c r="M194" s="214"/>
      <c r="N194" s="214"/>
      <c r="O194" s="214"/>
      <c r="P194" s="214"/>
    </row>
    <row r="195" spans="1:16" ht="102">
      <c r="A195" s="220" t="s">
        <v>865</v>
      </c>
      <c r="B195" s="220" t="s">
        <v>73</v>
      </c>
      <c r="C195" s="220" t="s">
        <v>242</v>
      </c>
      <c r="D195" s="220" t="s">
        <v>234</v>
      </c>
      <c r="E195" s="220" t="s">
        <v>1093</v>
      </c>
      <c r="F195" s="221"/>
      <c r="G195" s="222">
        <v>4554.1022400000002</v>
      </c>
      <c r="H195" s="222">
        <v>4682.5066100000004</v>
      </c>
      <c r="I195" s="222">
        <v>4682.5066100000004</v>
      </c>
      <c r="J195" s="214"/>
      <c r="K195" s="214"/>
      <c r="L195" s="214"/>
      <c r="M195" s="214"/>
      <c r="N195" s="214"/>
      <c r="O195" s="214"/>
      <c r="P195" s="214"/>
    </row>
    <row r="196" spans="1:16" ht="38.25">
      <c r="A196" s="220" t="s">
        <v>833</v>
      </c>
      <c r="B196" s="220" t="s">
        <v>73</v>
      </c>
      <c r="C196" s="220" t="s">
        <v>242</v>
      </c>
      <c r="D196" s="220" t="s">
        <v>234</v>
      </c>
      <c r="E196" s="220" t="s">
        <v>1093</v>
      </c>
      <c r="F196" s="220" t="s">
        <v>313</v>
      </c>
      <c r="G196" s="222">
        <v>67.302000000000007</v>
      </c>
      <c r="H196" s="222">
        <v>69.199610000000007</v>
      </c>
      <c r="I196" s="222">
        <v>69.199610000000007</v>
      </c>
      <c r="J196" s="214"/>
      <c r="K196" s="214"/>
      <c r="L196" s="214"/>
      <c r="M196" s="214"/>
      <c r="N196" s="214"/>
      <c r="O196" s="214"/>
      <c r="P196" s="214"/>
    </row>
    <row r="197" spans="1:16" ht="25.5">
      <c r="A197" s="220" t="s">
        <v>845</v>
      </c>
      <c r="B197" s="220" t="s">
        <v>73</v>
      </c>
      <c r="C197" s="220" t="s">
        <v>242</v>
      </c>
      <c r="D197" s="220" t="s">
        <v>234</v>
      </c>
      <c r="E197" s="220" t="s">
        <v>1093</v>
      </c>
      <c r="F197" s="220" t="s">
        <v>318</v>
      </c>
      <c r="G197" s="222">
        <v>4486.8002399999996</v>
      </c>
      <c r="H197" s="222">
        <v>4613.3069999999998</v>
      </c>
      <c r="I197" s="222">
        <v>4613.3069999999998</v>
      </c>
      <c r="J197" s="214"/>
      <c r="K197" s="214"/>
      <c r="L197" s="214"/>
      <c r="M197" s="214"/>
      <c r="N197" s="214"/>
      <c r="O197" s="214"/>
      <c r="P197" s="214"/>
    </row>
    <row r="198" spans="1:16" ht="25.5">
      <c r="A198" s="220" t="s">
        <v>175</v>
      </c>
      <c r="B198" s="220" t="s">
        <v>30</v>
      </c>
      <c r="C198" s="221"/>
      <c r="D198" s="221"/>
      <c r="E198" s="221"/>
      <c r="F198" s="221"/>
      <c r="G198" s="222">
        <v>229575.53803</v>
      </c>
      <c r="H198" s="222">
        <v>148709.68661999999</v>
      </c>
      <c r="I198" s="222">
        <v>143212.73662000001</v>
      </c>
      <c r="J198" s="214"/>
      <c r="K198" s="214"/>
      <c r="L198" s="214"/>
      <c r="M198" s="214"/>
      <c r="N198" s="214"/>
      <c r="O198" s="214"/>
      <c r="P198" s="214"/>
    </row>
    <row r="199" spans="1:16">
      <c r="A199" s="220" t="s">
        <v>533</v>
      </c>
      <c r="B199" s="220" t="s">
        <v>30</v>
      </c>
      <c r="C199" s="220" t="s">
        <v>239</v>
      </c>
      <c r="D199" s="221"/>
      <c r="E199" s="221"/>
      <c r="F199" s="221"/>
      <c r="G199" s="222">
        <v>47689.332880000002</v>
      </c>
      <c r="H199" s="222">
        <v>19186.942879999999</v>
      </c>
      <c r="I199" s="222">
        <v>16056.026</v>
      </c>
      <c r="J199" s="214"/>
      <c r="K199" s="214"/>
      <c r="L199" s="214"/>
      <c r="M199" s="214"/>
      <c r="N199" s="214"/>
      <c r="O199" s="214"/>
      <c r="P199" s="214"/>
    </row>
    <row r="200" spans="1:16" ht="51">
      <c r="A200" s="220" t="s">
        <v>560</v>
      </c>
      <c r="B200" s="220" t="s">
        <v>30</v>
      </c>
      <c r="C200" s="220" t="s">
        <v>239</v>
      </c>
      <c r="D200" s="220" t="s">
        <v>243</v>
      </c>
      <c r="E200" s="221"/>
      <c r="F200" s="221"/>
      <c r="G200" s="222">
        <v>7538.32</v>
      </c>
      <c r="H200" s="222">
        <v>7448.32</v>
      </c>
      <c r="I200" s="222">
        <v>7448.32</v>
      </c>
      <c r="J200" s="214"/>
      <c r="K200" s="214"/>
      <c r="L200" s="214"/>
      <c r="M200" s="214"/>
      <c r="N200" s="214"/>
      <c r="O200" s="214"/>
      <c r="P200" s="214"/>
    </row>
    <row r="201" spans="1:16" ht="51">
      <c r="A201" s="220" t="s">
        <v>561</v>
      </c>
      <c r="B201" s="220" t="s">
        <v>30</v>
      </c>
      <c r="C201" s="220" t="s">
        <v>239</v>
      </c>
      <c r="D201" s="220" t="s">
        <v>243</v>
      </c>
      <c r="E201" s="220" t="s">
        <v>438</v>
      </c>
      <c r="F201" s="221"/>
      <c r="G201" s="222">
        <v>7538.32</v>
      </c>
      <c r="H201" s="222">
        <v>7448.32</v>
      </c>
      <c r="I201" s="222">
        <v>7448.32</v>
      </c>
      <c r="J201" s="214"/>
      <c r="K201" s="214"/>
      <c r="L201" s="214"/>
      <c r="M201" s="214"/>
      <c r="N201" s="214"/>
      <c r="O201" s="214"/>
      <c r="P201" s="214"/>
    </row>
    <row r="202" spans="1:16" ht="63.75">
      <c r="A202" s="220" t="s">
        <v>1242</v>
      </c>
      <c r="B202" s="220" t="s">
        <v>30</v>
      </c>
      <c r="C202" s="220" t="s">
        <v>239</v>
      </c>
      <c r="D202" s="220" t="s">
        <v>243</v>
      </c>
      <c r="E202" s="220" t="s">
        <v>439</v>
      </c>
      <c r="F202" s="221"/>
      <c r="G202" s="222">
        <v>7538.32</v>
      </c>
      <c r="H202" s="222">
        <v>7448.32</v>
      </c>
      <c r="I202" s="222">
        <v>7448.32</v>
      </c>
      <c r="J202" s="214"/>
      <c r="K202" s="214"/>
      <c r="L202" s="214"/>
      <c r="M202" s="214"/>
      <c r="N202" s="214"/>
      <c r="O202" s="214"/>
      <c r="P202" s="214"/>
    </row>
    <row r="203" spans="1:16" ht="63.75">
      <c r="A203" s="220" t="s">
        <v>1245</v>
      </c>
      <c r="B203" s="220" t="s">
        <v>30</v>
      </c>
      <c r="C203" s="220" t="s">
        <v>239</v>
      </c>
      <c r="D203" s="220" t="s">
        <v>243</v>
      </c>
      <c r="E203" s="220" t="s">
        <v>440</v>
      </c>
      <c r="F203" s="221"/>
      <c r="G203" s="222">
        <v>7538.32</v>
      </c>
      <c r="H203" s="222">
        <v>7448.32</v>
      </c>
      <c r="I203" s="222">
        <v>7448.32</v>
      </c>
      <c r="J203" s="214"/>
      <c r="K203" s="214"/>
      <c r="L203" s="214"/>
      <c r="M203" s="214"/>
      <c r="N203" s="214"/>
      <c r="O203" s="214"/>
      <c r="P203" s="214"/>
    </row>
    <row r="204" spans="1:16" ht="51">
      <c r="A204" s="220" t="s">
        <v>1235</v>
      </c>
      <c r="B204" s="220" t="s">
        <v>30</v>
      </c>
      <c r="C204" s="220" t="s">
        <v>239</v>
      </c>
      <c r="D204" s="220" t="s">
        <v>243</v>
      </c>
      <c r="E204" s="220" t="s">
        <v>1199</v>
      </c>
      <c r="F204" s="221"/>
      <c r="G204" s="222">
        <v>7475.92</v>
      </c>
      <c r="H204" s="222">
        <v>7385.92</v>
      </c>
      <c r="I204" s="222">
        <v>7385.92</v>
      </c>
      <c r="J204" s="214"/>
      <c r="K204" s="214"/>
      <c r="L204" s="214"/>
      <c r="M204" s="214"/>
      <c r="N204" s="214"/>
      <c r="O204" s="214"/>
      <c r="P204" s="214"/>
    </row>
    <row r="205" spans="1:16" ht="76.5">
      <c r="A205" s="220" t="s">
        <v>848</v>
      </c>
      <c r="B205" s="220" t="s">
        <v>30</v>
      </c>
      <c r="C205" s="220" t="s">
        <v>239</v>
      </c>
      <c r="D205" s="220" t="s">
        <v>243</v>
      </c>
      <c r="E205" s="220" t="s">
        <v>1199</v>
      </c>
      <c r="F205" s="220" t="s">
        <v>312</v>
      </c>
      <c r="G205" s="222">
        <v>6470.82</v>
      </c>
      <c r="H205" s="222">
        <v>6470.82</v>
      </c>
      <c r="I205" s="222">
        <v>6470.82</v>
      </c>
      <c r="J205" s="214"/>
      <c r="K205" s="214"/>
      <c r="L205" s="214"/>
      <c r="M205" s="214"/>
      <c r="N205" s="214"/>
      <c r="O205" s="214"/>
      <c r="P205" s="214"/>
    </row>
    <row r="206" spans="1:16" ht="38.25">
      <c r="A206" s="220" t="s">
        <v>833</v>
      </c>
      <c r="B206" s="220" t="s">
        <v>30</v>
      </c>
      <c r="C206" s="220" t="s">
        <v>239</v>
      </c>
      <c r="D206" s="220" t="s">
        <v>243</v>
      </c>
      <c r="E206" s="220" t="s">
        <v>1199</v>
      </c>
      <c r="F206" s="220" t="s">
        <v>313</v>
      </c>
      <c r="G206" s="222">
        <v>993.9</v>
      </c>
      <c r="H206" s="222">
        <v>903.9</v>
      </c>
      <c r="I206" s="222">
        <v>903.9</v>
      </c>
      <c r="J206" s="214"/>
      <c r="K206" s="214"/>
      <c r="L206" s="214"/>
      <c r="M206" s="214"/>
      <c r="N206" s="214"/>
      <c r="O206" s="214"/>
      <c r="P206" s="214"/>
    </row>
    <row r="207" spans="1:16">
      <c r="A207" s="220" t="s">
        <v>849</v>
      </c>
      <c r="B207" s="220" t="s">
        <v>30</v>
      </c>
      <c r="C207" s="220" t="s">
        <v>239</v>
      </c>
      <c r="D207" s="220" t="s">
        <v>243</v>
      </c>
      <c r="E207" s="220" t="s">
        <v>1199</v>
      </c>
      <c r="F207" s="220" t="s">
        <v>314</v>
      </c>
      <c r="G207" s="222">
        <v>11.2</v>
      </c>
      <c r="H207" s="222">
        <v>11.2</v>
      </c>
      <c r="I207" s="222">
        <v>11.2</v>
      </c>
      <c r="J207" s="214"/>
      <c r="K207" s="214"/>
      <c r="L207" s="214"/>
      <c r="M207" s="214"/>
      <c r="N207" s="214"/>
      <c r="O207" s="214"/>
      <c r="P207" s="214"/>
    </row>
    <row r="208" spans="1:16" ht="76.5">
      <c r="A208" s="220" t="s">
        <v>1236</v>
      </c>
      <c r="B208" s="220" t="s">
        <v>30</v>
      </c>
      <c r="C208" s="220" t="s">
        <v>239</v>
      </c>
      <c r="D208" s="220" t="s">
        <v>243</v>
      </c>
      <c r="E208" s="220" t="s">
        <v>1200</v>
      </c>
      <c r="F208" s="221"/>
      <c r="G208" s="222">
        <v>62.4</v>
      </c>
      <c r="H208" s="222">
        <v>62.4</v>
      </c>
      <c r="I208" s="222">
        <v>62.4</v>
      </c>
      <c r="J208" s="214"/>
      <c r="K208" s="214"/>
      <c r="L208" s="214"/>
      <c r="M208" s="214"/>
      <c r="N208" s="214"/>
      <c r="O208" s="214"/>
      <c r="P208" s="214"/>
    </row>
    <row r="209" spans="1:16" ht="38.25">
      <c r="A209" s="220" t="s">
        <v>833</v>
      </c>
      <c r="B209" s="220" t="s">
        <v>30</v>
      </c>
      <c r="C209" s="220" t="s">
        <v>239</v>
      </c>
      <c r="D209" s="220" t="s">
        <v>243</v>
      </c>
      <c r="E209" s="220" t="s">
        <v>1200</v>
      </c>
      <c r="F209" s="220" t="s">
        <v>313</v>
      </c>
      <c r="G209" s="222">
        <v>62.4</v>
      </c>
      <c r="H209" s="222">
        <v>62.4</v>
      </c>
      <c r="I209" s="222">
        <v>62.4</v>
      </c>
      <c r="J209" s="214"/>
      <c r="K209" s="214"/>
      <c r="L209" s="214"/>
      <c r="M209" s="214"/>
      <c r="N209" s="214"/>
      <c r="O209" s="214"/>
      <c r="P209" s="214"/>
    </row>
    <row r="210" spans="1:16">
      <c r="A210" s="220" t="s">
        <v>562</v>
      </c>
      <c r="B210" s="220" t="s">
        <v>30</v>
      </c>
      <c r="C210" s="220" t="s">
        <v>239</v>
      </c>
      <c r="D210" s="220" t="s">
        <v>5</v>
      </c>
      <c r="E210" s="221"/>
      <c r="F210" s="221"/>
      <c r="G210" s="222">
        <v>3000</v>
      </c>
      <c r="H210" s="222">
        <v>2114.8000000000002</v>
      </c>
      <c r="I210" s="222">
        <v>2114.8000000000002</v>
      </c>
      <c r="J210" s="214"/>
      <c r="K210" s="214"/>
      <c r="L210" s="214"/>
      <c r="M210" s="214"/>
      <c r="N210" s="214"/>
      <c r="O210" s="214"/>
      <c r="P210" s="214"/>
    </row>
    <row r="211" spans="1:16" ht="63.75">
      <c r="A211" s="220" t="s">
        <v>554</v>
      </c>
      <c r="B211" s="220" t="s">
        <v>30</v>
      </c>
      <c r="C211" s="220" t="s">
        <v>239</v>
      </c>
      <c r="D211" s="220" t="s">
        <v>5</v>
      </c>
      <c r="E211" s="220" t="s">
        <v>465</v>
      </c>
      <c r="F211" s="221"/>
      <c r="G211" s="222">
        <v>3000</v>
      </c>
      <c r="H211" s="222">
        <v>2114.8000000000002</v>
      </c>
      <c r="I211" s="222">
        <v>2114.8000000000002</v>
      </c>
      <c r="J211" s="214"/>
      <c r="K211" s="214"/>
      <c r="L211" s="214"/>
      <c r="M211" s="214"/>
      <c r="N211" s="214"/>
      <c r="O211" s="214"/>
      <c r="P211" s="214"/>
    </row>
    <row r="212" spans="1:16" ht="25.5">
      <c r="A212" s="220" t="s">
        <v>555</v>
      </c>
      <c r="B212" s="220" t="s">
        <v>30</v>
      </c>
      <c r="C212" s="220" t="s">
        <v>239</v>
      </c>
      <c r="D212" s="220" t="s">
        <v>5</v>
      </c>
      <c r="E212" s="220" t="s">
        <v>466</v>
      </c>
      <c r="F212" s="221"/>
      <c r="G212" s="222">
        <v>3000</v>
      </c>
      <c r="H212" s="222">
        <v>2114.8000000000002</v>
      </c>
      <c r="I212" s="222">
        <v>2114.8000000000002</v>
      </c>
      <c r="J212" s="214"/>
      <c r="K212" s="214"/>
      <c r="L212" s="214"/>
      <c r="M212" s="214"/>
      <c r="N212" s="214"/>
      <c r="O212" s="214"/>
      <c r="P212" s="214"/>
    </row>
    <row r="213" spans="1:16" ht="25.5">
      <c r="A213" s="220" t="s">
        <v>857</v>
      </c>
      <c r="B213" s="220" t="s">
        <v>30</v>
      </c>
      <c r="C213" s="220" t="s">
        <v>239</v>
      </c>
      <c r="D213" s="220" t="s">
        <v>5</v>
      </c>
      <c r="E213" s="220" t="s">
        <v>467</v>
      </c>
      <c r="F213" s="221"/>
      <c r="G213" s="222">
        <v>3000</v>
      </c>
      <c r="H213" s="222">
        <v>2114.8000000000002</v>
      </c>
      <c r="I213" s="222">
        <v>2114.8000000000002</v>
      </c>
      <c r="J213" s="214"/>
      <c r="K213" s="214"/>
      <c r="L213" s="214"/>
      <c r="M213" s="214"/>
      <c r="N213" s="214"/>
      <c r="O213" s="214"/>
      <c r="P213" s="214"/>
    </row>
    <row r="214" spans="1:16">
      <c r="A214" s="220" t="s">
        <v>849</v>
      </c>
      <c r="B214" s="220" t="s">
        <v>30</v>
      </c>
      <c r="C214" s="220" t="s">
        <v>239</v>
      </c>
      <c r="D214" s="220" t="s">
        <v>5</v>
      </c>
      <c r="E214" s="220" t="s">
        <v>467</v>
      </c>
      <c r="F214" s="220" t="s">
        <v>314</v>
      </c>
      <c r="G214" s="222">
        <v>3000</v>
      </c>
      <c r="H214" s="222">
        <v>2114.8000000000002</v>
      </c>
      <c r="I214" s="222">
        <v>2114.8000000000002</v>
      </c>
      <c r="J214" s="214"/>
      <c r="K214" s="214"/>
      <c r="L214" s="214"/>
      <c r="M214" s="214"/>
      <c r="N214" s="214"/>
      <c r="O214" s="214"/>
      <c r="P214" s="214"/>
    </row>
    <row r="215" spans="1:16">
      <c r="A215" s="220" t="s">
        <v>534</v>
      </c>
      <c r="B215" s="220" t="s">
        <v>30</v>
      </c>
      <c r="C215" s="220" t="s">
        <v>239</v>
      </c>
      <c r="D215" s="220" t="s">
        <v>6</v>
      </c>
      <c r="E215" s="221"/>
      <c r="F215" s="221"/>
      <c r="G215" s="222">
        <v>37151.012880000002</v>
      </c>
      <c r="H215" s="222">
        <v>9623.8228799999997</v>
      </c>
      <c r="I215" s="222">
        <v>6492.9059999999999</v>
      </c>
      <c r="J215" s="214"/>
      <c r="K215" s="214"/>
      <c r="L215" s="214"/>
      <c r="M215" s="214"/>
      <c r="N215" s="214"/>
      <c r="O215" s="214"/>
      <c r="P215" s="214"/>
    </row>
    <row r="216" spans="1:16" ht="51">
      <c r="A216" s="220" t="s">
        <v>561</v>
      </c>
      <c r="B216" s="220" t="s">
        <v>30</v>
      </c>
      <c r="C216" s="220" t="s">
        <v>239</v>
      </c>
      <c r="D216" s="220" t="s">
        <v>6</v>
      </c>
      <c r="E216" s="220" t="s">
        <v>438</v>
      </c>
      <c r="F216" s="221"/>
      <c r="G216" s="222">
        <v>4514.54</v>
      </c>
      <c r="H216" s="222">
        <v>3130.9168800000002</v>
      </c>
      <c r="I216" s="222">
        <v>0</v>
      </c>
      <c r="J216" s="214"/>
      <c r="K216" s="214"/>
      <c r="L216" s="214"/>
      <c r="M216" s="214"/>
      <c r="N216" s="214"/>
      <c r="O216" s="214"/>
      <c r="P216" s="214"/>
    </row>
    <row r="217" spans="1:16" ht="63.75">
      <c r="A217" s="220" t="s">
        <v>1242</v>
      </c>
      <c r="B217" s="220" t="s">
        <v>30</v>
      </c>
      <c r="C217" s="220" t="s">
        <v>239</v>
      </c>
      <c r="D217" s="220" t="s">
        <v>6</v>
      </c>
      <c r="E217" s="220" t="s">
        <v>439</v>
      </c>
      <c r="F217" s="221"/>
      <c r="G217" s="222">
        <v>4514.54</v>
      </c>
      <c r="H217" s="222">
        <v>3130.9168800000002</v>
      </c>
      <c r="I217" s="222">
        <v>0</v>
      </c>
      <c r="J217" s="214"/>
      <c r="K217" s="214"/>
      <c r="L217" s="214"/>
      <c r="M217" s="214"/>
      <c r="N217" s="214"/>
      <c r="O217" s="214"/>
      <c r="P217" s="214"/>
    </row>
    <row r="218" spans="1:16" ht="63.75">
      <c r="A218" s="220" t="s">
        <v>1245</v>
      </c>
      <c r="B218" s="220" t="s">
        <v>30</v>
      </c>
      <c r="C218" s="220" t="s">
        <v>239</v>
      </c>
      <c r="D218" s="220" t="s">
        <v>6</v>
      </c>
      <c r="E218" s="220" t="s">
        <v>440</v>
      </c>
      <c r="F218" s="221"/>
      <c r="G218" s="222">
        <v>4514.54</v>
      </c>
      <c r="H218" s="222">
        <v>3130.9168800000002</v>
      </c>
      <c r="I218" s="222">
        <v>0</v>
      </c>
      <c r="J218" s="214"/>
      <c r="K218" s="214"/>
      <c r="L218" s="214"/>
      <c r="M218" s="214"/>
      <c r="N218" s="214"/>
      <c r="O218" s="214"/>
      <c r="P218" s="214"/>
    </row>
    <row r="219" spans="1:16" ht="25.5">
      <c r="A219" s="220" t="s">
        <v>970</v>
      </c>
      <c r="B219" s="220" t="s">
        <v>30</v>
      </c>
      <c r="C219" s="220" t="s">
        <v>239</v>
      </c>
      <c r="D219" s="220" t="s">
        <v>6</v>
      </c>
      <c r="E219" s="220" t="s">
        <v>1201</v>
      </c>
      <c r="F219" s="221"/>
      <c r="G219" s="222">
        <v>592.08600000000001</v>
      </c>
      <c r="H219" s="222">
        <v>0</v>
      </c>
      <c r="I219" s="222">
        <v>0</v>
      </c>
      <c r="J219" s="214"/>
      <c r="K219" s="214"/>
      <c r="L219" s="214"/>
      <c r="M219" s="214"/>
      <c r="N219" s="214"/>
      <c r="O219" s="214"/>
      <c r="P219" s="214"/>
    </row>
    <row r="220" spans="1:16" ht="38.25">
      <c r="A220" s="220" t="s">
        <v>830</v>
      </c>
      <c r="B220" s="220" t="s">
        <v>30</v>
      </c>
      <c r="C220" s="220" t="s">
        <v>239</v>
      </c>
      <c r="D220" s="220" t="s">
        <v>6</v>
      </c>
      <c r="E220" s="220" t="s">
        <v>1201</v>
      </c>
      <c r="F220" s="220" t="s">
        <v>315</v>
      </c>
      <c r="G220" s="222">
        <v>592.08600000000001</v>
      </c>
      <c r="H220" s="222">
        <v>0</v>
      </c>
      <c r="I220" s="222">
        <v>0</v>
      </c>
      <c r="J220" s="214"/>
      <c r="K220" s="214"/>
      <c r="L220" s="214"/>
      <c r="M220" s="214"/>
      <c r="N220" s="214"/>
      <c r="O220" s="214"/>
      <c r="P220" s="214"/>
    </row>
    <row r="221" spans="1:16" ht="76.5">
      <c r="A221" s="220" t="s">
        <v>1246</v>
      </c>
      <c r="B221" s="220" t="s">
        <v>30</v>
      </c>
      <c r="C221" s="220" t="s">
        <v>239</v>
      </c>
      <c r="D221" s="220" t="s">
        <v>6</v>
      </c>
      <c r="E221" s="220" t="s">
        <v>1203</v>
      </c>
      <c r="F221" s="221"/>
      <c r="G221" s="222">
        <v>3922.4540000000002</v>
      </c>
      <c r="H221" s="222">
        <v>3130.9168800000002</v>
      </c>
      <c r="I221" s="222">
        <v>0</v>
      </c>
      <c r="J221" s="214"/>
      <c r="K221" s="214"/>
      <c r="L221" s="214"/>
      <c r="M221" s="214"/>
      <c r="N221" s="214"/>
      <c r="O221" s="214"/>
      <c r="P221" s="214"/>
    </row>
    <row r="222" spans="1:16" ht="38.25">
      <c r="A222" s="220" t="s">
        <v>830</v>
      </c>
      <c r="B222" s="220" t="s">
        <v>30</v>
      </c>
      <c r="C222" s="220" t="s">
        <v>239</v>
      </c>
      <c r="D222" s="220" t="s">
        <v>6</v>
      </c>
      <c r="E222" s="220" t="s">
        <v>1203</v>
      </c>
      <c r="F222" s="220" t="s">
        <v>315</v>
      </c>
      <c r="G222" s="222">
        <v>3922.4540000000002</v>
      </c>
      <c r="H222" s="222">
        <v>3130.9168800000002</v>
      </c>
      <c r="I222" s="222">
        <v>0</v>
      </c>
      <c r="J222" s="214"/>
      <c r="K222" s="214"/>
      <c r="L222" s="214"/>
      <c r="M222" s="214"/>
      <c r="N222" s="214"/>
      <c r="O222" s="214"/>
      <c r="P222" s="214"/>
    </row>
    <row r="223" spans="1:16" ht="51">
      <c r="A223" s="220" t="s">
        <v>549</v>
      </c>
      <c r="B223" s="220" t="s">
        <v>30</v>
      </c>
      <c r="C223" s="220" t="s">
        <v>239</v>
      </c>
      <c r="D223" s="220" t="s">
        <v>6</v>
      </c>
      <c r="E223" s="220" t="s">
        <v>444</v>
      </c>
      <c r="F223" s="221"/>
      <c r="G223" s="222">
        <v>6646.82</v>
      </c>
      <c r="H223" s="222">
        <v>6492.9059999999999</v>
      </c>
      <c r="I223" s="222">
        <v>6492.9059999999999</v>
      </c>
      <c r="J223" s="214"/>
      <c r="K223" s="214"/>
      <c r="L223" s="214"/>
      <c r="M223" s="214"/>
      <c r="N223" s="214"/>
      <c r="O223" s="214"/>
      <c r="P223" s="214"/>
    </row>
    <row r="224" spans="1:16" ht="51">
      <c r="A224" s="220" t="s">
        <v>1247</v>
      </c>
      <c r="B224" s="220" t="s">
        <v>30</v>
      </c>
      <c r="C224" s="220" t="s">
        <v>239</v>
      </c>
      <c r="D224" s="220" t="s">
        <v>6</v>
      </c>
      <c r="E224" s="220" t="s">
        <v>445</v>
      </c>
      <c r="F224" s="221"/>
      <c r="G224" s="222">
        <v>6646.82</v>
      </c>
      <c r="H224" s="222">
        <v>6492.9059999999999</v>
      </c>
      <c r="I224" s="222">
        <v>6492.9059999999999</v>
      </c>
      <c r="J224" s="214"/>
      <c r="K224" s="214"/>
      <c r="L224" s="214"/>
      <c r="M224" s="214"/>
      <c r="N224" s="214"/>
      <c r="O224" s="214"/>
      <c r="P224" s="214"/>
    </row>
    <row r="225" spans="1:16" ht="63.75">
      <c r="A225" s="220" t="s">
        <v>1248</v>
      </c>
      <c r="B225" s="220" t="s">
        <v>30</v>
      </c>
      <c r="C225" s="220" t="s">
        <v>239</v>
      </c>
      <c r="D225" s="220" t="s">
        <v>6</v>
      </c>
      <c r="E225" s="220" t="s">
        <v>1209</v>
      </c>
      <c r="F225" s="221"/>
      <c r="G225" s="222">
        <v>6646.82</v>
      </c>
      <c r="H225" s="222">
        <v>6492.9059999999999</v>
      </c>
      <c r="I225" s="222">
        <v>6492.9059999999999</v>
      </c>
      <c r="J225" s="214"/>
      <c r="K225" s="214"/>
      <c r="L225" s="214"/>
      <c r="M225" s="214"/>
      <c r="N225" s="214"/>
      <c r="O225" s="214"/>
      <c r="P225" s="214"/>
    </row>
    <row r="226" spans="1:16" ht="38.25">
      <c r="A226" s="220" t="s">
        <v>1018</v>
      </c>
      <c r="B226" s="220" t="s">
        <v>30</v>
      </c>
      <c r="C226" s="220" t="s">
        <v>239</v>
      </c>
      <c r="D226" s="220" t="s">
        <v>6</v>
      </c>
      <c r="E226" s="220" t="s">
        <v>1210</v>
      </c>
      <c r="F226" s="221"/>
      <c r="G226" s="222">
        <v>6433.82</v>
      </c>
      <c r="H226" s="222">
        <v>6492.9059999999999</v>
      </c>
      <c r="I226" s="222">
        <v>6492.9059999999999</v>
      </c>
      <c r="J226" s="214"/>
      <c r="K226" s="214"/>
      <c r="L226" s="214"/>
      <c r="M226" s="214"/>
      <c r="N226" s="214"/>
      <c r="O226" s="214"/>
      <c r="P226" s="214"/>
    </row>
    <row r="227" spans="1:16" ht="76.5">
      <c r="A227" s="220" t="s">
        <v>848</v>
      </c>
      <c r="B227" s="220" t="s">
        <v>30</v>
      </c>
      <c r="C227" s="220" t="s">
        <v>239</v>
      </c>
      <c r="D227" s="220" t="s">
        <v>6</v>
      </c>
      <c r="E227" s="220" t="s">
        <v>1210</v>
      </c>
      <c r="F227" s="220" t="s">
        <v>312</v>
      </c>
      <c r="G227" s="222">
        <v>5028.6899999999996</v>
      </c>
      <c r="H227" s="222">
        <v>5027.7759999999998</v>
      </c>
      <c r="I227" s="222">
        <v>5027.7759999999998</v>
      </c>
      <c r="J227" s="214"/>
      <c r="K227" s="214"/>
      <c r="L227" s="214"/>
      <c r="M227" s="214"/>
      <c r="N227" s="214"/>
      <c r="O227" s="214"/>
      <c r="P227" s="214"/>
    </row>
    <row r="228" spans="1:16" ht="38.25">
      <c r="A228" s="220" t="s">
        <v>833</v>
      </c>
      <c r="B228" s="220" t="s">
        <v>30</v>
      </c>
      <c r="C228" s="220" t="s">
        <v>239</v>
      </c>
      <c r="D228" s="220" t="s">
        <v>6</v>
      </c>
      <c r="E228" s="220" t="s">
        <v>1210</v>
      </c>
      <c r="F228" s="220" t="s">
        <v>313</v>
      </c>
      <c r="G228" s="222">
        <v>1390.9880000000001</v>
      </c>
      <c r="H228" s="222">
        <v>1450.9880000000001</v>
      </c>
      <c r="I228" s="222">
        <v>1450.9880000000001</v>
      </c>
      <c r="J228" s="214"/>
      <c r="K228" s="214"/>
      <c r="L228" s="214"/>
      <c r="M228" s="214"/>
      <c r="N228" s="214"/>
      <c r="O228" s="214"/>
      <c r="P228" s="214"/>
    </row>
    <row r="229" spans="1:16">
      <c r="A229" s="220" t="s">
        <v>849</v>
      </c>
      <c r="B229" s="220" t="s">
        <v>30</v>
      </c>
      <c r="C229" s="220" t="s">
        <v>239</v>
      </c>
      <c r="D229" s="220" t="s">
        <v>6</v>
      </c>
      <c r="E229" s="220" t="s">
        <v>1210</v>
      </c>
      <c r="F229" s="220" t="s">
        <v>314</v>
      </c>
      <c r="G229" s="222">
        <v>14.141999999999999</v>
      </c>
      <c r="H229" s="222">
        <v>14.141999999999999</v>
      </c>
      <c r="I229" s="222">
        <v>14.141999999999999</v>
      </c>
      <c r="J229" s="214"/>
      <c r="K229" s="214"/>
      <c r="L229" s="214"/>
      <c r="M229" s="214"/>
      <c r="N229" s="214"/>
      <c r="O229" s="214"/>
      <c r="P229" s="214"/>
    </row>
    <row r="230" spans="1:16" ht="51">
      <c r="A230" s="220" t="s">
        <v>1328</v>
      </c>
      <c r="B230" s="220" t="s">
        <v>30</v>
      </c>
      <c r="C230" s="220" t="s">
        <v>239</v>
      </c>
      <c r="D230" s="220" t="s">
        <v>6</v>
      </c>
      <c r="E230" s="220" t="s">
        <v>1311</v>
      </c>
      <c r="F230" s="221"/>
      <c r="G230" s="222">
        <v>213</v>
      </c>
      <c r="H230" s="222">
        <v>0</v>
      </c>
      <c r="I230" s="222">
        <v>0</v>
      </c>
      <c r="J230" s="214"/>
      <c r="K230" s="214"/>
      <c r="L230" s="214"/>
      <c r="M230" s="214"/>
      <c r="N230" s="214"/>
      <c r="O230" s="214"/>
      <c r="P230" s="214"/>
    </row>
    <row r="231" spans="1:16" ht="38.25">
      <c r="A231" s="220" t="s">
        <v>833</v>
      </c>
      <c r="B231" s="220" t="s">
        <v>30</v>
      </c>
      <c r="C231" s="220" t="s">
        <v>239</v>
      </c>
      <c r="D231" s="220" t="s">
        <v>6</v>
      </c>
      <c r="E231" s="220" t="s">
        <v>1311</v>
      </c>
      <c r="F231" s="220" t="s">
        <v>313</v>
      </c>
      <c r="G231" s="222">
        <v>213</v>
      </c>
      <c r="H231" s="222">
        <v>0</v>
      </c>
      <c r="I231" s="222">
        <v>0</v>
      </c>
      <c r="J231" s="214"/>
      <c r="K231" s="214"/>
      <c r="L231" s="214"/>
      <c r="M231" s="214"/>
      <c r="N231" s="214"/>
      <c r="O231" s="214"/>
      <c r="P231" s="214"/>
    </row>
    <row r="232" spans="1:16" ht="38.25">
      <c r="A232" s="220" t="s">
        <v>588</v>
      </c>
      <c r="B232" s="220" t="s">
        <v>30</v>
      </c>
      <c r="C232" s="220" t="s">
        <v>239</v>
      </c>
      <c r="D232" s="220" t="s">
        <v>6</v>
      </c>
      <c r="E232" s="220" t="s">
        <v>468</v>
      </c>
      <c r="F232" s="221"/>
      <c r="G232" s="222">
        <v>10621.752140000001</v>
      </c>
      <c r="H232" s="222">
        <v>0</v>
      </c>
      <c r="I232" s="222">
        <v>0</v>
      </c>
      <c r="J232" s="214"/>
      <c r="K232" s="214"/>
      <c r="L232" s="214"/>
      <c r="M232" s="214"/>
      <c r="N232" s="214"/>
      <c r="O232" s="214"/>
      <c r="P232" s="214"/>
    </row>
    <row r="233" spans="1:16">
      <c r="A233" s="220" t="s">
        <v>574</v>
      </c>
      <c r="B233" s="220" t="s">
        <v>30</v>
      </c>
      <c r="C233" s="220" t="s">
        <v>239</v>
      </c>
      <c r="D233" s="220" t="s">
        <v>6</v>
      </c>
      <c r="E233" s="220" t="s">
        <v>469</v>
      </c>
      <c r="F233" s="221"/>
      <c r="G233" s="222">
        <v>10621.752140000001</v>
      </c>
      <c r="H233" s="222">
        <v>0</v>
      </c>
      <c r="I233" s="222">
        <v>0</v>
      </c>
      <c r="J233" s="214"/>
      <c r="K233" s="214"/>
      <c r="L233" s="214"/>
      <c r="M233" s="214"/>
      <c r="N233" s="214"/>
      <c r="O233" s="214"/>
      <c r="P233" s="214"/>
    </row>
    <row r="234" spans="1:16" ht="127.5">
      <c r="A234" s="220" t="s">
        <v>1329</v>
      </c>
      <c r="B234" s="220" t="s">
        <v>30</v>
      </c>
      <c r="C234" s="220" t="s">
        <v>239</v>
      </c>
      <c r="D234" s="220" t="s">
        <v>6</v>
      </c>
      <c r="E234" s="220" t="s">
        <v>1319</v>
      </c>
      <c r="F234" s="221"/>
      <c r="G234" s="222">
        <v>421.75214</v>
      </c>
      <c r="H234" s="222">
        <v>0</v>
      </c>
      <c r="I234" s="222">
        <v>0</v>
      </c>
      <c r="J234" s="214"/>
      <c r="K234" s="214"/>
      <c r="L234" s="214"/>
      <c r="M234" s="214"/>
      <c r="N234" s="214"/>
      <c r="O234" s="214"/>
      <c r="P234" s="214"/>
    </row>
    <row r="235" spans="1:16">
      <c r="A235" s="220" t="s">
        <v>849</v>
      </c>
      <c r="B235" s="220" t="s">
        <v>30</v>
      </c>
      <c r="C235" s="220" t="s">
        <v>239</v>
      </c>
      <c r="D235" s="220" t="s">
        <v>6</v>
      </c>
      <c r="E235" s="220" t="s">
        <v>1319</v>
      </c>
      <c r="F235" s="220" t="s">
        <v>314</v>
      </c>
      <c r="G235" s="222">
        <v>421.75214</v>
      </c>
      <c r="H235" s="222">
        <v>0</v>
      </c>
      <c r="I235" s="222">
        <v>0</v>
      </c>
      <c r="J235" s="214"/>
      <c r="K235" s="214"/>
      <c r="L235" s="214"/>
      <c r="M235" s="214"/>
      <c r="N235" s="214"/>
      <c r="O235" s="214"/>
      <c r="P235" s="214"/>
    </row>
    <row r="236" spans="1:16" ht="114.75">
      <c r="A236" s="220" t="s">
        <v>980</v>
      </c>
      <c r="B236" s="220" t="s">
        <v>30</v>
      </c>
      <c r="C236" s="220" t="s">
        <v>239</v>
      </c>
      <c r="D236" s="220" t="s">
        <v>6</v>
      </c>
      <c r="E236" s="220" t="s">
        <v>979</v>
      </c>
      <c r="F236" s="221"/>
      <c r="G236" s="222">
        <v>10200</v>
      </c>
      <c r="H236" s="222">
        <v>0</v>
      </c>
      <c r="I236" s="222">
        <v>0</v>
      </c>
      <c r="J236" s="214"/>
      <c r="K236" s="214"/>
      <c r="L236" s="214"/>
      <c r="M236" s="214"/>
      <c r="N236" s="214"/>
      <c r="O236" s="214"/>
      <c r="P236" s="214"/>
    </row>
    <row r="237" spans="1:16">
      <c r="A237" s="220" t="s">
        <v>849</v>
      </c>
      <c r="B237" s="220" t="s">
        <v>30</v>
      </c>
      <c r="C237" s="220" t="s">
        <v>239</v>
      </c>
      <c r="D237" s="220" t="s">
        <v>6</v>
      </c>
      <c r="E237" s="220" t="s">
        <v>979</v>
      </c>
      <c r="F237" s="220" t="s">
        <v>314</v>
      </c>
      <c r="G237" s="222">
        <v>10200</v>
      </c>
      <c r="H237" s="222">
        <v>0</v>
      </c>
      <c r="I237" s="222">
        <v>0</v>
      </c>
      <c r="J237" s="214"/>
      <c r="K237" s="214"/>
      <c r="L237" s="214"/>
      <c r="M237" s="214"/>
      <c r="N237" s="214"/>
      <c r="O237" s="214"/>
      <c r="P237" s="214"/>
    </row>
    <row r="238" spans="1:16" ht="38.25">
      <c r="A238" s="220" t="s">
        <v>589</v>
      </c>
      <c r="B238" s="220" t="s">
        <v>30</v>
      </c>
      <c r="C238" s="220" t="s">
        <v>239</v>
      </c>
      <c r="D238" s="220" t="s">
        <v>6</v>
      </c>
      <c r="E238" s="220" t="s">
        <v>505</v>
      </c>
      <c r="F238" s="221"/>
      <c r="G238" s="222">
        <v>15367.900739999999</v>
      </c>
      <c r="H238" s="222">
        <v>0</v>
      </c>
      <c r="I238" s="222">
        <v>0</v>
      </c>
      <c r="J238" s="214"/>
      <c r="K238" s="214"/>
      <c r="L238" s="214"/>
      <c r="M238" s="214"/>
      <c r="N238" s="214"/>
      <c r="O238" s="214"/>
      <c r="P238" s="214"/>
    </row>
    <row r="239" spans="1:16">
      <c r="A239" s="220" t="s">
        <v>574</v>
      </c>
      <c r="B239" s="220" t="s">
        <v>30</v>
      </c>
      <c r="C239" s="220" t="s">
        <v>239</v>
      </c>
      <c r="D239" s="220" t="s">
        <v>6</v>
      </c>
      <c r="E239" s="220" t="s">
        <v>506</v>
      </c>
      <c r="F239" s="221"/>
      <c r="G239" s="222">
        <v>15367.900739999999</v>
      </c>
      <c r="H239" s="222">
        <v>0</v>
      </c>
      <c r="I239" s="222">
        <v>0</v>
      </c>
      <c r="J239" s="214"/>
      <c r="K239" s="214"/>
      <c r="L239" s="214"/>
      <c r="M239" s="214"/>
      <c r="N239" s="214"/>
      <c r="O239" s="214"/>
      <c r="P239" s="214"/>
    </row>
    <row r="240" spans="1:16" ht="38.25">
      <c r="A240" s="220" t="s">
        <v>1330</v>
      </c>
      <c r="B240" s="220" t="s">
        <v>30</v>
      </c>
      <c r="C240" s="220" t="s">
        <v>239</v>
      </c>
      <c r="D240" s="220" t="s">
        <v>6</v>
      </c>
      <c r="E240" s="220" t="s">
        <v>1321</v>
      </c>
      <c r="F240" s="221"/>
      <c r="G240" s="222">
        <v>15352.8</v>
      </c>
      <c r="H240" s="222">
        <v>0</v>
      </c>
      <c r="I240" s="222">
        <v>0</v>
      </c>
      <c r="J240" s="214"/>
      <c r="K240" s="214"/>
      <c r="L240" s="214"/>
      <c r="M240" s="214"/>
      <c r="N240" s="214"/>
      <c r="O240" s="214"/>
      <c r="P240" s="214"/>
    </row>
    <row r="241" spans="1:16" ht="38.25">
      <c r="A241" s="220" t="s">
        <v>830</v>
      </c>
      <c r="B241" s="220" t="s">
        <v>30</v>
      </c>
      <c r="C241" s="220" t="s">
        <v>239</v>
      </c>
      <c r="D241" s="220" t="s">
        <v>6</v>
      </c>
      <c r="E241" s="220" t="s">
        <v>1321</v>
      </c>
      <c r="F241" s="220" t="s">
        <v>315</v>
      </c>
      <c r="G241" s="222">
        <v>15352.8</v>
      </c>
      <c r="H241" s="222">
        <v>0</v>
      </c>
      <c r="I241" s="222">
        <v>0</v>
      </c>
      <c r="J241" s="214"/>
      <c r="K241" s="214"/>
      <c r="L241" s="214"/>
      <c r="M241" s="214"/>
      <c r="N241" s="214"/>
      <c r="O241" s="214"/>
      <c r="P241" s="214"/>
    </row>
    <row r="242" spans="1:16" ht="25.5">
      <c r="A242" s="220" t="s">
        <v>1331</v>
      </c>
      <c r="B242" s="220" t="s">
        <v>30</v>
      </c>
      <c r="C242" s="220" t="s">
        <v>239</v>
      </c>
      <c r="D242" s="220" t="s">
        <v>6</v>
      </c>
      <c r="E242" s="220" t="s">
        <v>1323</v>
      </c>
      <c r="F242" s="221"/>
      <c r="G242" s="222">
        <v>15.10074</v>
      </c>
      <c r="H242" s="222">
        <v>0</v>
      </c>
      <c r="I242" s="222">
        <v>0</v>
      </c>
      <c r="J242" s="214"/>
      <c r="K242" s="214"/>
      <c r="L242" s="214"/>
      <c r="M242" s="214"/>
      <c r="N242" s="214"/>
      <c r="O242" s="214"/>
      <c r="P242" s="214"/>
    </row>
    <row r="243" spans="1:16" ht="38.25">
      <c r="A243" s="220" t="s">
        <v>833</v>
      </c>
      <c r="B243" s="220" t="s">
        <v>30</v>
      </c>
      <c r="C243" s="220" t="s">
        <v>239</v>
      </c>
      <c r="D243" s="220" t="s">
        <v>6</v>
      </c>
      <c r="E243" s="220" t="s">
        <v>1323</v>
      </c>
      <c r="F243" s="220" t="s">
        <v>313</v>
      </c>
      <c r="G243" s="222">
        <v>15.10074</v>
      </c>
      <c r="H243" s="222">
        <v>0</v>
      </c>
      <c r="I243" s="222">
        <v>0</v>
      </c>
      <c r="J243" s="214"/>
      <c r="K243" s="214"/>
      <c r="L243" s="214"/>
      <c r="M243" s="214"/>
      <c r="N243" s="214"/>
      <c r="O243" s="214"/>
      <c r="P243" s="214"/>
    </row>
    <row r="244" spans="1:16" ht="38.25">
      <c r="A244" s="220" t="s">
        <v>590</v>
      </c>
      <c r="B244" s="220" t="s">
        <v>30</v>
      </c>
      <c r="C244" s="220" t="s">
        <v>241</v>
      </c>
      <c r="D244" s="221"/>
      <c r="E244" s="221"/>
      <c r="F244" s="221"/>
      <c r="G244" s="222">
        <v>16685.925950000001</v>
      </c>
      <c r="H244" s="222">
        <v>15486.454</v>
      </c>
      <c r="I244" s="222">
        <v>15486.454</v>
      </c>
      <c r="J244" s="214"/>
      <c r="K244" s="214"/>
      <c r="L244" s="214"/>
      <c r="M244" s="214"/>
      <c r="N244" s="214"/>
      <c r="O244" s="214"/>
      <c r="P244" s="214"/>
    </row>
    <row r="245" spans="1:16" ht="51">
      <c r="A245" s="220" t="s">
        <v>591</v>
      </c>
      <c r="B245" s="220" t="s">
        <v>30</v>
      </c>
      <c r="C245" s="220" t="s">
        <v>241</v>
      </c>
      <c r="D245" s="220" t="s">
        <v>240</v>
      </c>
      <c r="E245" s="221"/>
      <c r="F245" s="221"/>
      <c r="G245" s="222">
        <v>16685.925950000001</v>
      </c>
      <c r="H245" s="222">
        <v>15486.454</v>
      </c>
      <c r="I245" s="222">
        <v>15486.454</v>
      </c>
      <c r="J245" s="214"/>
      <c r="K245" s="214"/>
      <c r="L245" s="214"/>
      <c r="M245" s="214"/>
      <c r="N245" s="214"/>
      <c r="O245" s="214"/>
      <c r="P245" s="214"/>
    </row>
    <row r="246" spans="1:16" ht="63.75">
      <c r="A246" s="220" t="s">
        <v>1249</v>
      </c>
      <c r="B246" s="220" t="s">
        <v>30</v>
      </c>
      <c r="C246" s="220" t="s">
        <v>241</v>
      </c>
      <c r="D246" s="220" t="s">
        <v>240</v>
      </c>
      <c r="E246" s="220" t="s">
        <v>419</v>
      </c>
      <c r="F246" s="221"/>
      <c r="G246" s="222">
        <v>16486.455000000002</v>
      </c>
      <c r="H246" s="222">
        <v>15486.454</v>
      </c>
      <c r="I246" s="222">
        <v>15486.454</v>
      </c>
      <c r="J246" s="214"/>
      <c r="K246" s="214"/>
      <c r="L246" s="214"/>
      <c r="M246" s="214"/>
      <c r="N246" s="214"/>
      <c r="O246" s="214"/>
      <c r="P246" s="214"/>
    </row>
    <row r="247" spans="1:16" ht="51">
      <c r="A247" s="220" t="s">
        <v>592</v>
      </c>
      <c r="B247" s="220" t="s">
        <v>30</v>
      </c>
      <c r="C247" s="220" t="s">
        <v>241</v>
      </c>
      <c r="D247" s="220" t="s">
        <v>240</v>
      </c>
      <c r="E247" s="220" t="s">
        <v>420</v>
      </c>
      <c r="F247" s="221"/>
      <c r="G247" s="222">
        <v>16161.7</v>
      </c>
      <c r="H247" s="222">
        <v>15136.454</v>
      </c>
      <c r="I247" s="222">
        <v>15136.454</v>
      </c>
      <c r="J247" s="214"/>
      <c r="K247" s="214"/>
      <c r="L247" s="214"/>
      <c r="M247" s="214"/>
      <c r="N247" s="214"/>
      <c r="O247" s="214"/>
      <c r="P247" s="214"/>
    </row>
    <row r="248" spans="1:16" ht="153">
      <c r="A248" s="220" t="s">
        <v>1250</v>
      </c>
      <c r="B248" s="220" t="s">
        <v>30</v>
      </c>
      <c r="C248" s="220" t="s">
        <v>241</v>
      </c>
      <c r="D248" s="220" t="s">
        <v>240</v>
      </c>
      <c r="E248" s="220" t="s">
        <v>421</v>
      </c>
      <c r="F248" s="221"/>
      <c r="G248" s="222">
        <v>16161.7</v>
      </c>
      <c r="H248" s="222">
        <v>15136.454</v>
      </c>
      <c r="I248" s="222">
        <v>15136.454</v>
      </c>
      <c r="J248" s="214"/>
      <c r="K248" s="214"/>
      <c r="L248" s="214"/>
      <c r="M248" s="214"/>
      <c r="N248" s="214"/>
      <c r="O248" s="214"/>
      <c r="P248" s="214"/>
    </row>
    <row r="249" spans="1:16" ht="114.75">
      <c r="A249" s="220" t="s">
        <v>1251</v>
      </c>
      <c r="B249" s="220" t="s">
        <v>30</v>
      </c>
      <c r="C249" s="220" t="s">
        <v>241</v>
      </c>
      <c r="D249" s="220" t="s">
        <v>240</v>
      </c>
      <c r="E249" s="220" t="s">
        <v>422</v>
      </c>
      <c r="F249" s="221"/>
      <c r="G249" s="222">
        <v>16102.84</v>
      </c>
      <c r="H249" s="222">
        <v>15077.593999999999</v>
      </c>
      <c r="I249" s="222">
        <v>15077.593999999999</v>
      </c>
      <c r="J249" s="214"/>
      <c r="K249" s="214"/>
      <c r="L249" s="214"/>
      <c r="M249" s="214"/>
      <c r="N249" s="214"/>
      <c r="O249" s="214"/>
      <c r="P249" s="214"/>
    </row>
    <row r="250" spans="1:16" ht="76.5">
      <c r="A250" s="220" t="s">
        <v>848</v>
      </c>
      <c r="B250" s="220" t="s">
        <v>30</v>
      </c>
      <c r="C250" s="220" t="s">
        <v>241</v>
      </c>
      <c r="D250" s="220" t="s">
        <v>240</v>
      </c>
      <c r="E250" s="220" t="s">
        <v>422</v>
      </c>
      <c r="F250" s="220" t="s">
        <v>312</v>
      </c>
      <c r="G250" s="222">
        <v>14761.424999999999</v>
      </c>
      <c r="H250" s="222">
        <v>13519.045</v>
      </c>
      <c r="I250" s="222">
        <v>13519.045</v>
      </c>
      <c r="J250" s="214"/>
      <c r="K250" s="214"/>
      <c r="L250" s="214"/>
      <c r="M250" s="214"/>
      <c r="N250" s="214"/>
      <c r="O250" s="214"/>
      <c r="P250" s="214"/>
    </row>
    <row r="251" spans="1:16" ht="38.25">
      <c r="A251" s="220" t="s">
        <v>833</v>
      </c>
      <c r="B251" s="220" t="s">
        <v>30</v>
      </c>
      <c r="C251" s="220" t="s">
        <v>241</v>
      </c>
      <c r="D251" s="220" t="s">
        <v>240</v>
      </c>
      <c r="E251" s="220" t="s">
        <v>422</v>
      </c>
      <c r="F251" s="220" t="s">
        <v>313</v>
      </c>
      <c r="G251" s="222">
        <v>1261.5150000000001</v>
      </c>
      <c r="H251" s="222">
        <v>1478.6489999999999</v>
      </c>
      <c r="I251" s="222">
        <v>1478.6489999999999</v>
      </c>
      <c r="J251" s="214"/>
      <c r="K251" s="214"/>
      <c r="L251" s="214"/>
      <c r="M251" s="214"/>
      <c r="N251" s="214"/>
      <c r="O251" s="214"/>
      <c r="P251" s="214"/>
    </row>
    <row r="252" spans="1:16">
      <c r="A252" s="220" t="s">
        <v>849</v>
      </c>
      <c r="B252" s="220" t="s">
        <v>30</v>
      </c>
      <c r="C252" s="220" t="s">
        <v>241</v>
      </c>
      <c r="D252" s="220" t="s">
        <v>240</v>
      </c>
      <c r="E252" s="220" t="s">
        <v>422</v>
      </c>
      <c r="F252" s="220" t="s">
        <v>314</v>
      </c>
      <c r="G252" s="222">
        <v>79.900000000000006</v>
      </c>
      <c r="H252" s="222">
        <v>79.900000000000006</v>
      </c>
      <c r="I252" s="222">
        <v>79.900000000000006</v>
      </c>
      <c r="J252" s="214"/>
      <c r="K252" s="214"/>
      <c r="L252" s="214"/>
      <c r="M252" s="214"/>
      <c r="N252" s="214"/>
      <c r="O252" s="214"/>
      <c r="P252" s="214"/>
    </row>
    <row r="253" spans="1:16" ht="51">
      <c r="A253" s="220" t="s">
        <v>1252</v>
      </c>
      <c r="B253" s="220" t="s">
        <v>30</v>
      </c>
      <c r="C253" s="220" t="s">
        <v>241</v>
      </c>
      <c r="D253" s="220" t="s">
        <v>240</v>
      </c>
      <c r="E253" s="220" t="s">
        <v>1153</v>
      </c>
      <c r="F253" s="221"/>
      <c r="G253" s="222">
        <v>58.86</v>
      </c>
      <c r="H253" s="222">
        <v>58.86</v>
      </c>
      <c r="I253" s="222">
        <v>58.86</v>
      </c>
      <c r="J253" s="214"/>
      <c r="K253" s="214"/>
      <c r="L253" s="214"/>
      <c r="M253" s="214"/>
      <c r="N253" s="214"/>
      <c r="O253" s="214"/>
      <c r="P253" s="214"/>
    </row>
    <row r="254" spans="1:16" ht="38.25">
      <c r="A254" s="220" t="s">
        <v>833</v>
      </c>
      <c r="B254" s="220" t="s">
        <v>30</v>
      </c>
      <c r="C254" s="220" t="s">
        <v>241</v>
      </c>
      <c r="D254" s="220" t="s">
        <v>240</v>
      </c>
      <c r="E254" s="220" t="s">
        <v>1153</v>
      </c>
      <c r="F254" s="220" t="s">
        <v>313</v>
      </c>
      <c r="G254" s="222">
        <v>58.86</v>
      </c>
      <c r="H254" s="222">
        <v>58.86</v>
      </c>
      <c r="I254" s="222">
        <v>58.86</v>
      </c>
      <c r="J254" s="214"/>
      <c r="K254" s="214"/>
      <c r="L254" s="214"/>
      <c r="M254" s="214"/>
      <c r="N254" s="214"/>
      <c r="O254" s="214"/>
      <c r="P254" s="214"/>
    </row>
    <row r="255" spans="1:16" ht="51">
      <c r="A255" s="220" t="s">
        <v>593</v>
      </c>
      <c r="B255" s="220" t="s">
        <v>30</v>
      </c>
      <c r="C255" s="220" t="s">
        <v>241</v>
      </c>
      <c r="D255" s="220" t="s">
        <v>240</v>
      </c>
      <c r="E255" s="220" t="s">
        <v>423</v>
      </c>
      <c r="F255" s="221"/>
      <c r="G255" s="222">
        <v>324.755</v>
      </c>
      <c r="H255" s="222">
        <v>350</v>
      </c>
      <c r="I255" s="222">
        <v>350</v>
      </c>
      <c r="J255" s="214"/>
      <c r="K255" s="214"/>
      <c r="L255" s="214"/>
      <c r="M255" s="214"/>
      <c r="N255" s="214"/>
      <c r="O255" s="214"/>
      <c r="P255" s="214"/>
    </row>
    <row r="256" spans="1:16" ht="89.25">
      <c r="A256" s="220" t="s">
        <v>904</v>
      </c>
      <c r="B256" s="220" t="s">
        <v>30</v>
      </c>
      <c r="C256" s="220" t="s">
        <v>241</v>
      </c>
      <c r="D256" s="220" t="s">
        <v>240</v>
      </c>
      <c r="E256" s="220" t="s">
        <v>424</v>
      </c>
      <c r="F256" s="221"/>
      <c r="G256" s="222">
        <v>324.755</v>
      </c>
      <c r="H256" s="222">
        <v>350</v>
      </c>
      <c r="I256" s="222">
        <v>350</v>
      </c>
      <c r="J256" s="214"/>
      <c r="K256" s="214"/>
      <c r="L256" s="214"/>
      <c r="M256" s="214"/>
      <c r="N256" s="214"/>
      <c r="O256" s="214"/>
      <c r="P256" s="214"/>
    </row>
    <row r="257" spans="1:16" ht="51">
      <c r="A257" s="220" t="s">
        <v>1253</v>
      </c>
      <c r="B257" s="220" t="s">
        <v>30</v>
      </c>
      <c r="C257" s="220" t="s">
        <v>241</v>
      </c>
      <c r="D257" s="220" t="s">
        <v>240</v>
      </c>
      <c r="E257" s="220" t="s">
        <v>1155</v>
      </c>
      <c r="F257" s="221"/>
      <c r="G257" s="222">
        <v>324.755</v>
      </c>
      <c r="H257" s="222">
        <v>350</v>
      </c>
      <c r="I257" s="222">
        <v>350</v>
      </c>
      <c r="J257" s="214"/>
      <c r="K257" s="214"/>
      <c r="L257" s="214"/>
      <c r="M257" s="214"/>
      <c r="N257" s="214"/>
      <c r="O257" s="214"/>
      <c r="P257" s="214"/>
    </row>
    <row r="258" spans="1:16" ht="38.25">
      <c r="A258" s="220" t="s">
        <v>833</v>
      </c>
      <c r="B258" s="220" t="s">
        <v>30</v>
      </c>
      <c r="C258" s="220" t="s">
        <v>241</v>
      </c>
      <c r="D258" s="220" t="s">
        <v>240</v>
      </c>
      <c r="E258" s="220" t="s">
        <v>1155</v>
      </c>
      <c r="F258" s="220" t="s">
        <v>313</v>
      </c>
      <c r="G258" s="222">
        <v>324.755</v>
      </c>
      <c r="H258" s="222">
        <v>350</v>
      </c>
      <c r="I258" s="222">
        <v>350</v>
      </c>
      <c r="J258" s="214"/>
      <c r="K258" s="214"/>
      <c r="L258" s="214"/>
      <c r="M258" s="214"/>
      <c r="N258" s="214"/>
      <c r="O258" s="214"/>
      <c r="P258" s="214"/>
    </row>
    <row r="259" spans="1:16" ht="38.25">
      <c r="A259" s="220" t="s">
        <v>589</v>
      </c>
      <c r="B259" s="220" t="s">
        <v>30</v>
      </c>
      <c r="C259" s="220" t="s">
        <v>241</v>
      </c>
      <c r="D259" s="220" t="s">
        <v>240</v>
      </c>
      <c r="E259" s="220" t="s">
        <v>505</v>
      </c>
      <c r="F259" s="221"/>
      <c r="G259" s="222">
        <v>199.47094999999999</v>
      </c>
      <c r="H259" s="222">
        <v>0</v>
      </c>
      <c r="I259" s="222">
        <v>0</v>
      </c>
      <c r="J259" s="214"/>
      <c r="K259" s="214"/>
      <c r="L259" s="214"/>
      <c r="M259" s="214"/>
      <c r="N259" s="214"/>
      <c r="O259" s="214"/>
      <c r="P259" s="214"/>
    </row>
    <row r="260" spans="1:16">
      <c r="A260" s="220" t="s">
        <v>574</v>
      </c>
      <c r="B260" s="220" t="s">
        <v>30</v>
      </c>
      <c r="C260" s="220" t="s">
        <v>241</v>
      </c>
      <c r="D260" s="220" t="s">
        <v>240</v>
      </c>
      <c r="E260" s="220" t="s">
        <v>506</v>
      </c>
      <c r="F260" s="221"/>
      <c r="G260" s="222">
        <v>199.47094999999999</v>
      </c>
      <c r="H260" s="222">
        <v>0</v>
      </c>
      <c r="I260" s="222">
        <v>0</v>
      </c>
      <c r="J260" s="214"/>
      <c r="K260" s="214"/>
      <c r="L260" s="214"/>
      <c r="M260" s="214"/>
      <c r="N260" s="214"/>
      <c r="O260" s="214"/>
      <c r="P260" s="214"/>
    </row>
    <row r="261" spans="1:16" ht="25.5">
      <c r="A261" s="220" t="s">
        <v>1331</v>
      </c>
      <c r="B261" s="220" t="s">
        <v>30</v>
      </c>
      <c r="C261" s="220" t="s">
        <v>241</v>
      </c>
      <c r="D261" s="220" t="s">
        <v>240</v>
      </c>
      <c r="E261" s="220" t="s">
        <v>1323</v>
      </c>
      <c r="F261" s="221"/>
      <c r="G261" s="222">
        <v>199.47094999999999</v>
      </c>
      <c r="H261" s="222">
        <v>0</v>
      </c>
      <c r="I261" s="222">
        <v>0</v>
      </c>
      <c r="J261" s="214"/>
      <c r="K261" s="214"/>
      <c r="L261" s="214"/>
      <c r="M261" s="214"/>
      <c r="N261" s="214"/>
      <c r="O261" s="214"/>
      <c r="P261" s="214"/>
    </row>
    <row r="262" spans="1:16" ht="38.25">
      <c r="A262" s="220" t="s">
        <v>833</v>
      </c>
      <c r="B262" s="220" t="s">
        <v>30</v>
      </c>
      <c r="C262" s="220" t="s">
        <v>241</v>
      </c>
      <c r="D262" s="220" t="s">
        <v>240</v>
      </c>
      <c r="E262" s="220" t="s">
        <v>1323</v>
      </c>
      <c r="F262" s="220" t="s">
        <v>313</v>
      </c>
      <c r="G262" s="222">
        <v>199.47094999999999</v>
      </c>
      <c r="H262" s="222">
        <v>0</v>
      </c>
      <c r="I262" s="222">
        <v>0</v>
      </c>
      <c r="J262" s="214"/>
      <c r="K262" s="214"/>
      <c r="L262" s="214"/>
      <c r="M262" s="214"/>
      <c r="N262" s="214"/>
      <c r="O262" s="214"/>
      <c r="P262" s="214"/>
    </row>
    <row r="263" spans="1:16">
      <c r="A263" s="220" t="s">
        <v>537</v>
      </c>
      <c r="B263" s="220" t="s">
        <v>30</v>
      </c>
      <c r="C263" s="220" t="s">
        <v>234</v>
      </c>
      <c r="D263" s="221"/>
      <c r="E263" s="221"/>
      <c r="F263" s="221"/>
      <c r="G263" s="222">
        <v>89912.695500000002</v>
      </c>
      <c r="H263" s="222">
        <v>67556.883799999996</v>
      </c>
      <c r="I263" s="222">
        <v>65190.850680000003</v>
      </c>
      <c r="J263" s="214"/>
      <c r="K263" s="214"/>
      <c r="L263" s="214"/>
      <c r="M263" s="214"/>
      <c r="N263" s="214"/>
      <c r="O263" s="214"/>
      <c r="P263" s="214"/>
    </row>
    <row r="264" spans="1:16">
      <c r="A264" s="220" t="s">
        <v>567</v>
      </c>
      <c r="B264" s="220" t="s">
        <v>30</v>
      </c>
      <c r="C264" s="220" t="s">
        <v>234</v>
      </c>
      <c r="D264" s="220" t="s">
        <v>4</v>
      </c>
      <c r="E264" s="221"/>
      <c r="F264" s="221"/>
      <c r="G264" s="222">
        <v>199.52600000000001</v>
      </c>
      <c r="H264" s="222">
        <v>104.23</v>
      </c>
      <c r="I264" s="222">
        <v>104.23</v>
      </c>
      <c r="J264" s="214"/>
      <c r="K264" s="214"/>
      <c r="L264" s="214"/>
      <c r="M264" s="214"/>
      <c r="N264" s="214"/>
      <c r="O264" s="214"/>
      <c r="P264" s="214"/>
    </row>
    <row r="265" spans="1:16" ht="51">
      <c r="A265" s="220" t="s">
        <v>1254</v>
      </c>
      <c r="B265" s="220" t="s">
        <v>30</v>
      </c>
      <c r="C265" s="220" t="s">
        <v>234</v>
      </c>
      <c r="D265" s="220" t="s">
        <v>4</v>
      </c>
      <c r="E265" s="220" t="s">
        <v>437</v>
      </c>
      <c r="F265" s="221"/>
      <c r="G265" s="222">
        <v>199.52600000000001</v>
      </c>
      <c r="H265" s="222">
        <v>104.23</v>
      </c>
      <c r="I265" s="222">
        <v>104.23</v>
      </c>
      <c r="J265" s="214"/>
      <c r="K265" s="214"/>
      <c r="L265" s="214"/>
      <c r="M265" s="214"/>
      <c r="N265" s="214"/>
      <c r="O265" s="214"/>
      <c r="P265" s="214"/>
    </row>
    <row r="266" spans="1:16" ht="51">
      <c r="A266" s="220" t="s">
        <v>869</v>
      </c>
      <c r="B266" s="220" t="s">
        <v>30</v>
      </c>
      <c r="C266" s="220" t="s">
        <v>234</v>
      </c>
      <c r="D266" s="220" t="s">
        <v>4</v>
      </c>
      <c r="E266" s="220" t="s">
        <v>1192</v>
      </c>
      <c r="F266" s="221"/>
      <c r="G266" s="222">
        <v>199.52600000000001</v>
      </c>
      <c r="H266" s="222">
        <v>104.23</v>
      </c>
      <c r="I266" s="222">
        <v>104.23</v>
      </c>
      <c r="J266" s="214"/>
      <c r="K266" s="214"/>
      <c r="L266" s="214"/>
      <c r="M266" s="214"/>
      <c r="N266" s="214"/>
      <c r="O266" s="214"/>
      <c r="P266" s="214"/>
    </row>
    <row r="267" spans="1:16" ht="127.5">
      <c r="A267" s="220" t="s">
        <v>870</v>
      </c>
      <c r="B267" s="220" t="s">
        <v>30</v>
      </c>
      <c r="C267" s="220" t="s">
        <v>234</v>
      </c>
      <c r="D267" s="220" t="s">
        <v>4</v>
      </c>
      <c r="E267" s="220" t="s">
        <v>1193</v>
      </c>
      <c r="F267" s="221"/>
      <c r="G267" s="222">
        <v>199.52600000000001</v>
      </c>
      <c r="H267" s="222">
        <v>104.23</v>
      </c>
      <c r="I267" s="222">
        <v>104.23</v>
      </c>
      <c r="J267" s="214"/>
      <c r="K267" s="214"/>
      <c r="L267" s="214"/>
      <c r="M267" s="214"/>
      <c r="N267" s="214"/>
      <c r="O267" s="214"/>
      <c r="P267" s="214"/>
    </row>
    <row r="268" spans="1:16" ht="38.25">
      <c r="A268" s="220" t="s">
        <v>830</v>
      </c>
      <c r="B268" s="220" t="s">
        <v>30</v>
      </c>
      <c r="C268" s="220" t="s">
        <v>234</v>
      </c>
      <c r="D268" s="220" t="s">
        <v>4</v>
      </c>
      <c r="E268" s="220" t="s">
        <v>1193</v>
      </c>
      <c r="F268" s="220" t="s">
        <v>315</v>
      </c>
      <c r="G268" s="222">
        <v>199.52600000000001</v>
      </c>
      <c r="H268" s="222">
        <v>104.23</v>
      </c>
      <c r="I268" s="222">
        <v>104.23</v>
      </c>
      <c r="J268" s="214"/>
      <c r="K268" s="214"/>
      <c r="L268" s="214"/>
      <c r="M268" s="214"/>
      <c r="N268" s="214"/>
      <c r="O268" s="214"/>
      <c r="P268" s="214"/>
    </row>
    <row r="269" spans="1:16">
      <c r="A269" s="220" t="s">
        <v>1002</v>
      </c>
      <c r="B269" s="220" t="s">
        <v>30</v>
      </c>
      <c r="C269" s="220" t="s">
        <v>234</v>
      </c>
      <c r="D269" s="220" t="s">
        <v>243</v>
      </c>
      <c r="E269" s="221"/>
      <c r="F269" s="221"/>
      <c r="G269" s="222">
        <v>8934.11</v>
      </c>
      <c r="H269" s="222">
        <v>8922.1336499999998</v>
      </c>
      <c r="I269" s="222">
        <v>9235.2836499999994</v>
      </c>
      <c r="J269" s="214"/>
      <c r="K269" s="214"/>
      <c r="L269" s="214"/>
      <c r="M269" s="214"/>
      <c r="N269" s="214"/>
      <c r="O269" s="214"/>
      <c r="P269" s="214"/>
    </row>
    <row r="270" spans="1:16" ht="38.25">
      <c r="A270" s="220" t="s">
        <v>568</v>
      </c>
      <c r="B270" s="220" t="s">
        <v>30</v>
      </c>
      <c r="C270" s="220" t="s">
        <v>234</v>
      </c>
      <c r="D270" s="220" t="s">
        <v>243</v>
      </c>
      <c r="E270" s="220" t="s">
        <v>434</v>
      </c>
      <c r="F270" s="221"/>
      <c r="G270" s="222">
        <v>8934.11</v>
      </c>
      <c r="H270" s="222">
        <v>8922.1336499999998</v>
      </c>
      <c r="I270" s="222">
        <v>9235.2836499999994</v>
      </c>
      <c r="J270" s="214"/>
      <c r="K270" s="214"/>
      <c r="L270" s="214"/>
      <c r="M270" s="214"/>
      <c r="N270" s="214"/>
      <c r="O270" s="214"/>
      <c r="P270" s="214"/>
    </row>
    <row r="271" spans="1:16" ht="38.25">
      <c r="A271" s="220" t="s">
        <v>1255</v>
      </c>
      <c r="B271" s="220" t="s">
        <v>30</v>
      </c>
      <c r="C271" s="220" t="s">
        <v>234</v>
      </c>
      <c r="D271" s="220" t="s">
        <v>243</v>
      </c>
      <c r="E271" s="220" t="s">
        <v>1178</v>
      </c>
      <c r="F271" s="221"/>
      <c r="G271" s="222">
        <v>8934.11</v>
      </c>
      <c r="H271" s="222">
        <v>8922.1336499999998</v>
      </c>
      <c r="I271" s="222">
        <v>9235.2836499999994</v>
      </c>
      <c r="J271" s="214"/>
      <c r="K271" s="214"/>
      <c r="L271" s="214"/>
      <c r="M271" s="214"/>
      <c r="N271" s="214"/>
      <c r="O271" s="214"/>
      <c r="P271" s="214"/>
    </row>
    <row r="272" spans="1:16" ht="38.25">
      <c r="A272" s="220" t="s">
        <v>882</v>
      </c>
      <c r="B272" s="220" t="s">
        <v>30</v>
      </c>
      <c r="C272" s="220" t="s">
        <v>234</v>
      </c>
      <c r="D272" s="220" t="s">
        <v>243</v>
      </c>
      <c r="E272" s="220" t="s">
        <v>1179</v>
      </c>
      <c r="F272" s="221"/>
      <c r="G272" s="222">
        <v>8934.11</v>
      </c>
      <c r="H272" s="222">
        <v>8922.1336499999998</v>
      </c>
      <c r="I272" s="222">
        <v>9235.2836499999994</v>
      </c>
      <c r="J272" s="214"/>
      <c r="K272" s="214"/>
      <c r="L272" s="214"/>
      <c r="M272" s="214"/>
      <c r="N272" s="214"/>
      <c r="O272" s="214"/>
      <c r="P272" s="214"/>
    </row>
    <row r="273" spans="1:16" ht="38.25">
      <c r="A273" s="220" t="s">
        <v>883</v>
      </c>
      <c r="B273" s="220" t="s">
        <v>30</v>
      </c>
      <c r="C273" s="220" t="s">
        <v>234</v>
      </c>
      <c r="D273" s="220" t="s">
        <v>243</v>
      </c>
      <c r="E273" s="220" t="s">
        <v>1180</v>
      </c>
      <c r="F273" s="221"/>
      <c r="G273" s="222">
        <v>8934.11</v>
      </c>
      <c r="H273" s="222">
        <v>8922.1336499999998</v>
      </c>
      <c r="I273" s="222">
        <v>9235.2836499999994</v>
      </c>
      <c r="J273" s="214"/>
      <c r="K273" s="214"/>
      <c r="L273" s="214"/>
      <c r="M273" s="214"/>
      <c r="N273" s="214"/>
      <c r="O273" s="214"/>
      <c r="P273" s="214"/>
    </row>
    <row r="274" spans="1:16" ht="38.25">
      <c r="A274" s="220" t="s">
        <v>830</v>
      </c>
      <c r="B274" s="220" t="s">
        <v>30</v>
      </c>
      <c r="C274" s="220" t="s">
        <v>234</v>
      </c>
      <c r="D274" s="220" t="s">
        <v>243</v>
      </c>
      <c r="E274" s="220" t="s">
        <v>1180</v>
      </c>
      <c r="F274" s="220" t="s">
        <v>315</v>
      </c>
      <c r="G274" s="222">
        <v>8934.11</v>
      </c>
      <c r="H274" s="222">
        <v>8922.1336499999998</v>
      </c>
      <c r="I274" s="222">
        <v>9235.2836499999994</v>
      </c>
      <c r="J274" s="214"/>
      <c r="K274" s="214"/>
      <c r="L274" s="214"/>
      <c r="M274" s="214"/>
      <c r="N274" s="214"/>
      <c r="O274" s="214"/>
      <c r="P274" s="214"/>
    </row>
    <row r="275" spans="1:16">
      <c r="A275" s="220" t="s">
        <v>570</v>
      </c>
      <c r="B275" s="220" t="s">
        <v>30</v>
      </c>
      <c r="C275" s="220" t="s">
        <v>234</v>
      </c>
      <c r="D275" s="220" t="s">
        <v>240</v>
      </c>
      <c r="E275" s="221"/>
      <c r="F275" s="221"/>
      <c r="G275" s="222">
        <v>80779.059500000003</v>
      </c>
      <c r="H275" s="222">
        <v>58530.520149999997</v>
      </c>
      <c r="I275" s="222">
        <v>55851.337030000002</v>
      </c>
      <c r="J275" s="214"/>
      <c r="K275" s="214"/>
      <c r="L275" s="214"/>
      <c r="M275" s="214"/>
      <c r="N275" s="214"/>
      <c r="O275" s="214"/>
      <c r="P275" s="214"/>
    </row>
    <row r="276" spans="1:16" ht="38.25">
      <c r="A276" s="220" t="s">
        <v>571</v>
      </c>
      <c r="B276" s="220" t="s">
        <v>30</v>
      </c>
      <c r="C276" s="220" t="s">
        <v>234</v>
      </c>
      <c r="D276" s="220" t="s">
        <v>240</v>
      </c>
      <c r="E276" s="220" t="s">
        <v>412</v>
      </c>
      <c r="F276" s="221"/>
      <c r="G276" s="222">
        <v>78090.808680000002</v>
      </c>
      <c r="H276" s="222">
        <v>58530.520149999997</v>
      </c>
      <c r="I276" s="222">
        <v>55851.337030000002</v>
      </c>
      <c r="J276" s="214"/>
      <c r="K276" s="214"/>
      <c r="L276" s="214"/>
      <c r="M276" s="214"/>
      <c r="N276" s="214"/>
      <c r="O276" s="214"/>
      <c r="P276" s="214"/>
    </row>
    <row r="277" spans="1:16" ht="63.75">
      <c r="A277" s="220" t="s">
        <v>572</v>
      </c>
      <c r="B277" s="220" t="s">
        <v>30</v>
      </c>
      <c r="C277" s="220" t="s">
        <v>234</v>
      </c>
      <c r="D277" s="220" t="s">
        <v>240</v>
      </c>
      <c r="E277" s="220" t="s">
        <v>413</v>
      </c>
      <c r="F277" s="221"/>
      <c r="G277" s="222">
        <v>70606.808680000002</v>
      </c>
      <c r="H277" s="222">
        <v>58530.520149999997</v>
      </c>
      <c r="I277" s="222">
        <v>55851.337030000002</v>
      </c>
      <c r="J277" s="214"/>
      <c r="K277" s="214"/>
      <c r="L277" s="214"/>
      <c r="M277" s="214"/>
      <c r="N277" s="214"/>
      <c r="O277" s="214"/>
      <c r="P277" s="214"/>
    </row>
    <row r="278" spans="1:16" ht="63.75">
      <c r="A278" s="220" t="s">
        <v>871</v>
      </c>
      <c r="B278" s="220" t="s">
        <v>30</v>
      </c>
      <c r="C278" s="220" t="s">
        <v>234</v>
      </c>
      <c r="D278" s="220" t="s">
        <v>240</v>
      </c>
      <c r="E278" s="220" t="s">
        <v>414</v>
      </c>
      <c r="F278" s="221"/>
      <c r="G278" s="222">
        <v>70606.808680000002</v>
      </c>
      <c r="H278" s="222">
        <v>58530.520149999997</v>
      </c>
      <c r="I278" s="222">
        <v>55851.337030000002</v>
      </c>
      <c r="J278" s="214"/>
      <c r="K278" s="214"/>
      <c r="L278" s="214"/>
      <c r="M278" s="214"/>
      <c r="N278" s="214"/>
      <c r="O278" s="214"/>
      <c r="P278" s="214"/>
    </row>
    <row r="279" spans="1:16" ht="25.5">
      <c r="A279" s="220" t="s">
        <v>970</v>
      </c>
      <c r="B279" s="220" t="s">
        <v>30</v>
      </c>
      <c r="C279" s="220" t="s">
        <v>234</v>
      </c>
      <c r="D279" s="220" t="s">
        <v>240</v>
      </c>
      <c r="E279" s="220" t="s">
        <v>967</v>
      </c>
      <c r="F279" s="221"/>
      <c r="G279" s="222">
        <v>4493.0529999999999</v>
      </c>
      <c r="H279" s="222">
        <v>4089.6871999999998</v>
      </c>
      <c r="I279" s="222">
        <v>4089.6871999999998</v>
      </c>
      <c r="J279" s="214"/>
      <c r="K279" s="214"/>
      <c r="L279" s="214"/>
      <c r="M279" s="214"/>
      <c r="N279" s="214"/>
      <c r="O279" s="214"/>
      <c r="P279" s="214"/>
    </row>
    <row r="280" spans="1:16" ht="38.25">
      <c r="A280" s="220" t="s">
        <v>830</v>
      </c>
      <c r="B280" s="220" t="s">
        <v>30</v>
      </c>
      <c r="C280" s="220" t="s">
        <v>234</v>
      </c>
      <c r="D280" s="220" t="s">
        <v>240</v>
      </c>
      <c r="E280" s="220" t="s">
        <v>967</v>
      </c>
      <c r="F280" s="220" t="s">
        <v>315</v>
      </c>
      <c r="G280" s="222">
        <v>4493.0529999999999</v>
      </c>
      <c r="H280" s="222">
        <v>4089.6871999999998</v>
      </c>
      <c r="I280" s="222">
        <v>4089.6871999999998</v>
      </c>
      <c r="J280" s="214"/>
      <c r="K280" s="214"/>
      <c r="L280" s="214"/>
      <c r="M280" s="214"/>
      <c r="N280" s="214"/>
      <c r="O280" s="214"/>
      <c r="P280" s="214"/>
    </row>
    <row r="281" spans="1:16" ht="63.75">
      <c r="A281" s="220" t="s">
        <v>872</v>
      </c>
      <c r="B281" s="220" t="s">
        <v>30</v>
      </c>
      <c r="C281" s="220" t="s">
        <v>234</v>
      </c>
      <c r="D281" s="220" t="s">
        <v>240</v>
      </c>
      <c r="E281" s="220" t="s">
        <v>415</v>
      </c>
      <c r="F281" s="221"/>
      <c r="G281" s="222">
        <v>62684.522109999998</v>
      </c>
      <c r="H281" s="222">
        <v>51637.59938</v>
      </c>
      <c r="I281" s="222">
        <v>48958.416259999998</v>
      </c>
      <c r="J281" s="214"/>
      <c r="K281" s="214"/>
      <c r="L281" s="214"/>
      <c r="M281" s="214"/>
      <c r="N281" s="214"/>
      <c r="O281" s="214"/>
      <c r="P281" s="214"/>
    </row>
    <row r="282" spans="1:16" ht="38.25">
      <c r="A282" s="220" t="s">
        <v>830</v>
      </c>
      <c r="B282" s="220" t="s">
        <v>30</v>
      </c>
      <c r="C282" s="220" t="s">
        <v>234</v>
      </c>
      <c r="D282" s="220" t="s">
        <v>240</v>
      </c>
      <c r="E282" s="220" t="s">
        <v>415</v>
      </c>
      <c r="F282" s="220" t="s">
        <v>315</v>
      </c>
      <c r="G282" s="222">
        <v>62684.522109999998</v>
      </c>
      <c r="H282" s="222">
        <v>51637.59938</v>
      </c>
      <c r="I282" s="222">
        <v>48958.416259999998</v>
      </c>
      <c r="J282" s="214"/>
      <c r="K282" s="214"/>
      <c r="L282" s="214"/>
      <c r="M282" s="214"/>
      <c r="N282" s="214"/>
      <c r="O282" s="214"/>
      <c r="P282" s="214"/>
    </row>
    <row r="283" spans="1:16" ht="25.5">
      <c r="A283" s="220" t="s">
        <v>873</v>
      </c>
      <c r="B283" s="220" t="s">
        <v>30</v>
      </c>
      <c r="C283" s="220" t="s">
        <v>234</v>
      </c>
      <c r="D283" s="220" t="s">
        <v>240</v>
      </c>
      <c r="E283" s="220" t="s">
        <v>498</v>
      </c>
      <c r="F283" s="221"/>
      <c r="G283" s="222">
        <v>2803.2335699999999</v>
      </c>
      <c r="H283" s="222">
        <v>2803.2335699999999</v>
      </c>
      <c r="I283" s="222">
        <v>2803.2335699999999</v>
      </c>
      <c r="J283" s="214"/>
      <c r="K283" s="214"/>
      <c r="L283" s="214"/>
      <c r="M283" s="214"/>
      <c r="N283" s="214"/>
      <c r="O283" s="214"/>
      <c r="P283" s="214"/>
    </row>
    <row r="284" spans="1:16" ht="38.25">
      <c r="A284" s="220" t="s">
        <v>830</v>
      </c>
      <c r="B284" s="220" t="s">
        <v>30</v>
      </c>
      <c r="C284" s="220" t="s">
        <v>234</v>
      </c>
      <c r="D284" s="220" t="s">
        <v>240</v>
      </c>
      <c r="E284" s="220" t="s">
        <v>498</v>
      </c>
      <c r="F284" s="220" t="s">
        <v>315</v>
      </c>
      <c r="G284" s="222">
        <v>2803.2335699999999</v>
      </c>
      <c r="H284" s="222">
        <v>2803.2335699999999</v>
      </c>
      <c r="I284" s="222">
        <v>2803.2335699999999</v>
      </c>
      <c r="J284" s="214"/>
      <c r="K284" s="214"/>
      <c r="L284" s="214"/>
      <c r="M284" s="214"/>
      <c r="N284" s="214"/>
      <c r="O284" s="214"/>
      <c r="P284" s="214"/>
    </row>
    <row r="285" spans="1:16" ht="38.25">
      <c r="A285" s="220" t="s">
        <v>1332</v>
      </c>
      <c r="B285" s="220" t="s">
        <v>30</v>
      </c>
      <c r="C285" s="220" t="s">
        <v>234</v>
      </c>
      <c r="D285" s="220" t="s">
        <v>240</v>
      </c>
      <c r="E285" s="220" t="s">
        <v>1306</v>
      </c>
      <c r="F285" s="221"/>
      <c r="G285" s="222">
        <v>626</v>
      </c>
      <c r="H285" s="222">
        <v>0</v>
      </c>
      <c r="I285" s="222">
        <v>0</v>
      </c>
      <c r="J285" s="214"/>
      <c r="K285" s="214"/>
      <c r="L285" s="214"/>
      <c r="M285" s="214"/>
      <c r="N285" s="214"/>
      <c r="O285" s="214"/>
      <c r="P285" s="214"/>
    </row>
    <row r="286" spans="1:16" ht="38.25">
      <c r="A286" s="220" t="s">
        <v>830</v>
      </c>
      <c r="B286" s="220" t="s">
        <v>30</v>
      </c>
      <c r="C286" s="220" t="s">
        <v>234</v>
      </c>
      <c r="D286" s="220" t="s">
        <v>240</v>
      </c>
      <c r="E286" s="220" t="s">
        <v>1306</v>
      </c>
      <c r="F286" s="220" t="s">
        <v>315</v>
      </c>
      <c r="G286" s="222">
        <v>626</v>
      </c>
      <c r="H286" s="222">
        <v>0</v>
      </c>
      <c r="I286" s="222">
        <v>0</v>
      </c>
      <c r="J286" s="214"/>
      <c r="K286" s="214"/>
      <c r="L286" s="214"/>
      <c r="M286" s="214"/>
      <c r="N286" s="214"/>
      <c r="O286" s="214"/>
      <c r="P286" s="214"/>
    </row>
    <row r="287" spans="1:16" ht="63.75">
      <c r="A287" s="220" t="s">
        <v>573</v>
      </c>
      <c r="B287" s="220" t="s">
        <v>30</v>
      </c>
      <c r="C287" s="220" t="s">
        <v>234</v>
      </c>
      <c r="D287" s="220" t="s">
        <v>240</v>
      </c>
      <c r="E287" s="220" t="s">
        <v>416</v>
      </c>
      <c r="F287" s="221"/>
      <c r="G287" s="222">
        <v>7484</v>
      </c>
      <c r="H287" s="222">
        <v>0</v>
      </c>
      <c r="I287" s="222">
        <v>0</v>
      </c>
      <c r="J287" s="214"/>
      <c r="K287" s="214"/>
      <c r="L287" s="214"/>
      <c r="M287" s="214"/>
      <c r="N287" s="214"/>
      <c r="O287" s="214"/>
      <c r="P287" s="214"/>
    </row>
    <row r="288" spans="1:16" ht="76.5">
      <c r="A288" s="220" t="s">
        <v>874</v>
      </c>
      <c r="B288" s="220" t="s">
        <v>30</v>
      </c>
      <c r="C288" s="220" t="s">
        <v>234</v>
      </c>
      <c r="D288" s="220" t="s">
        <v>240</v>
      </c>
      <c r="E288" s="220" t="s">
        <v>417</v>
      </c>
      <c r="F288" s="221"/>
      <c r="G288" s="222">
        <v>7484</v>
      </c>
      <c r="H288" s="222">
        <v>0</v>
      </c>
      <c r="I288" s="222">
        <v>0</v>
      </c>
      <c r="J288" s="214"/>
      <c r="K288" s="214"/>
      <c r="L288" s="214"/>
      <c r="M288" s="214"/>
      <c r="N288" s="214"/>
      <c r="O288" s="214"/>
      <c r="P288" s="214"/>
    </row>
    <row r="289" spans="1:16" ht="38.25">
      <c r="A289" s="220" t="s">
        <v>1332</v>
      </c>
      <c r="B289" s="220" t="s">
        <v>30</v>
      </c>
      <c r="C289" s="220" t="s">
        <v>234</v>
      </c>
      <c r="D289" s="220" t="s">
        <v>240</v>
      </c>
      <c r="E289" s="220" t="s">
        <v>1307</v>
      </c>
      <c r="F289" s="221"/>
      <c r="G289" s="222">
        <v>4484</v>
      </c>
      <c r="H289" s="222">
        <v>0</v>
      </c>
      <c r="I289" s="222">
        <v>0</v>
      </c>
      <c r="J289" s="214"/>
      <c r="K289" s="214"/>
      <c r="L289" s="214"/>
      <c r="M289" s="214"/>
      <c r="N289" s="214"/>
      <c r="O289" s="214"/>
      <c r="P289" s="214"/>
    </row>
    <row r="290" spans="1:16" ht="38.25">
      <c r="A290" s="220" t="s">
        <v>833</v>
      </c>
      <c r="B290" s="220" t="s">
        <v>30</v>
      </c>
      <c r="C290" s="220" t="s">
        <v>234</v>
      </c>
      <c r="D290" s="220" t="s">
        <v>240</v>
      </c>
      <c r="E290" s="220" t="s">
        <v>1307</v>
      </c>
      <c r="F290" s="220" t="s">
        <v>313</v>
      </c>
      <c r="G290" s="222">
        <v>2190</v>
      </c>
      <c r="H290" s="222">
        <v>0</v>
      </c>
      <c r="I290" s="222">
        <v>0</v>
      </c>
      <c r="J290" s="214"/>
      <c r="K290" s="214"/>
      <c r="L290" s="214"/>
      <c r="M290" s="214"/>
      <c r="N290" s="214"/>
      <c r="O290" s="214"/>
      <c r="P290" s="214"/>
    </row>
    <row r="291" spans="1:16" ht="38.25">
      <c r="A291" s="220" t="s">
        <v>830</v>
      </c>
      <c r="B291" s="220" t="s">
        <v>30</v>
      </c>
      <c r="C291" s="220" t="s">
        <v>234</v>
      </c>
      <c r="D291" s="220" t="s">
        <v>240</v>
      </c>
      <c r="E291" s="220" t="s">
        <v>1307</v>
      </c>
      <c r="F291" s="220" t="s">
        <v>315</v>
      </c>
      <c r="G291" s="222">
        <v>2294</v>
      </c>
      <c r="H291" s="222">
        <v>0</v>
      </c>
      <c r="I291" s="222">
        <v>0</v>
      </c>
      <c r="J291" s="214"/>
      <c r="K291" s="214"/>
      <c r="L291" s="214"/>
      <c r="M291" s="214"/>
      <c r="N291" s="214"/>
      <c r="O291" s="214"/>
      <c r="P291" s="214"/>
    </row>
    <row r="292" spans="1:16" ht="76.5">
      <c r="A292" s="220" t="s">
        <v>1023</v>
      </c>
      <c r="B292" s="220" t="s">
        <v>30</v>
      </c>
      <c r="C292" s="220" t="s">
        <v>234</v>
      </c>
      <c r="D292" s="220" t="s">
        <v>240</v>
      </c>
      <c r="E292" s="220" t="s">
        <v>753</v>
      </c>
      <c r="F292" s="221"/>
      <c r="G292" s="222">
        <v>3000</v>
      </c>
      <c r="H292" s="222">
        <v>0</v>
      </c>
      <c r="I292" s="222">
        <v>0</v>
      </c>
      <c r="J292" s="214"/>
      <c r="K292" s="214"/>
      <c r="L292" s="214"/>
      <c r="M292" s="214"/>
      <c r="N292" s="214"/>
      <c r="O292" s="214"/>
      <c r="P292" s="214"/>
    </row>
    <row r="293" spans="1:16" ht="38.25">
      <c r="A293" s="220" t="s">
        <v>830</v>
      </c>
      <c r="B293" s="220" t="s">
        <v>30</v>
      </c>
      <c r="C293" s="220" t="s">
        <v>234</v>
      </c>
      <c r="D293" s="220" t="s">
        <v>240</v>
      </c>
      <c r="E293" s="220" t="s">
        <v>753</v>
      </c>
      <c r="F293" s="220" t="s">
        <v>315</v>
      </c>
      <c r="G293" s="222">
        <v>3000</v>
      </c>
      <c r="H293" s="222">
        <v>0</v>
      </c>
      <c r="I293" s="222">
        <v>0</v>
      </c>
      <c r="J293" s="214"/>
      <c r="K293" s="214"/>
      <c r="L293" s="214"/>
      <c r="M293" s="214"/>
      <c r="N293" s="214"/>
      <c r="O293" s="214"/>
      <c r="P293" s="214"/>
    </row>
    <row r="294" spans="1:16" ht="38.25">
      <c r="A294" s="220" t="s">
        <v>589</v>
      </c>
      <c r="B294" s="220" t="s">
        <v>30</v>
      </c>
      <c r="C294" s="220" t="s">
        <v>234</v>
      </c>
      <c r="D294" s="220" t="s">
        <v>240</v>
      </c>
      <c r="E294" s="220" t="s">
        <v>505</v>
      </c>
      <c r="F294" s="221"/>
      <c r="G294" s="222">
        <v>2688.2508200000002</v>
      </c>
      <c r="H294" s="222">
        <v>0</v>
      </c>
      <c r="I294" s="222">
        <v>0</v>
      </c>
      <c r="J294" s="214"/>
      <c r="K294" s="214"/>
      <c r="L294" s="214"/>
      <c r="M294" s="214"/>
      <c r="N294" s="214"/>
      <c r="O294" s="214"/>
      <c r="P294" s="214"/>
    </row>
    <row r="295" spans="1:16">
      <c r="A295" s="220" t="s">
        <v>574</v>
      </c>
      <c r="B295" s="220" t="s">
        <v>30</v>
      </c>
      <c r="C295" s="220" t="s">
        <v>234</v>
      </c>
      <c r="D295" s="220" t="s">
        <v>240</v>
      </c>
      <c r="E295" s="220" t="s">
        <v>506</v>
      </c>
      <c r="F295" s="221"/>
      <c r="G295" s="222">
        <v>2688.2508200000002</v>
      </c>
      <c r="H295" s="222">
        <v>0</v>
      </c>
      <c r="I295" s="222">
        <v>0</v>
      </c>
      <c r="J295" s="214"/>
      <c r="K295" s="214"/>
      <c r="L295" s="214"/>
      <c r="M295" s="214"/>
      <c r="N295" s="214"/>
      <c r="O295" s="214"/>
      <c r="P295" s="214"/>
    </row>
    <row r="296" spans="1:16" ht="25.5">
      <c r="A296" s="220" t="s">
        <v>1331</v>
      </c>
      <c r="B296" s="220" t="s">
        <v>30</v>
      </c>
      <c r="C296" s="220" t="s">
        <v>234</v>
      </c>
      <c r="D296" s="220" t="s">
        <v>240</v>
      </c>
      <c r="E296" s="220" t="s">
        <v>1323</v>
      </c>
      <c r="F296" s="221"/>
      <c r="G296" s="222">
        <v>2688.2508200000002</v>
      </c>
      <c r="H296" s="222">
        <v>0</v>
      </c>
      <c r="I296" s="222">
        <v>0</v>
      </c>
      <c r="J296" s="214"/>
      <c r="K296" s="214"/>
      <c r="L296" s="214"/>
      <c r="M296" s="214"/>
      <c r="N296" s="214"/>
      <c r="O296" s="214"/>
      <c r="P296" s="214"/>
    </row>
    <row r="297" spans="1:16" ht="38.25">
      <c r="A297" s="220" t="s">
        <v>830</v>
      </c>
      <c r="B297" s="220" t="s">
        <v>30</v>
      </c>
      <c r="C297" s="220" t="s">
        <v>234</v>
      </c>
      <c r="D297" s="220" t="s">
        <v>240</v>
      </c>
      <c r="E297" s="220" t="s">
        <v>1323</v>
      </c>
      <c r="F297" s="220" t="s">
        <v>315</v>
      </c>
      <c r="G297" s="222">
        <v>2688.2508200000002</v>
      </c>
      <c r="H297" s="222">
        <v>0</v>
      </c>
      <c r="I297" s="222">
        <v>0</v>
      </c>
      <c r="J297" s="214"/>
      <c r="K297" s="214"/>
      <c r="L297" s="214"/>
      <c r="M297" s="214"/>
      <c r="N297" s="214"/>
      <c r="O297" s="214"/>
      <c r="P297" s="214"/>
    </row>
    <row r="298" spans="1:16" ht="25.5">
      <c r="A298" s="220" t="s">
        <v>575</v>
      </c>
      <c r="B298" s="220" t="s">
        <v>30</v>
      </c>
      <c r="C298" s="220" t="s">
        <v>4</v>
      </c>
      <c r="D298" s="221"/>
      <c r="E298" s="221"/>
      <c r="F298" s="221"/>
      <c r="G298" s="222">
        <v>72587.583700000003</v>
      </c>
      <c r="H298" s="222">
        <v>46479.405939999997</v>
      </c>
      <c r="I298" s="222">
        <v>46479.405939999997</v>
      </c>
      <c r="J298" s="214"/>
      <c r="K298" s="214"/>
      <c r="L298" s="214"/>
      <c r="M298" s="214"/>
      <c r="N298" s="214"/>
      <c r="O298" s="214"/>
      <c r="P298" s="214"/>
    </row>
    <row r="299" spans="1:16">
      <c r="A299" s="220" t="s">
        <v>576</v>
      </c>
      <c r="B299" s="220" t="s">
        <v>30</v>
      </c>
      <c r="C299" s="220" t="s">
        <v>4</v>
      </c>
      <c r="D299" s="220" t="s">
        <v>239</v>
      </c>
      <c r="E299" s="221"/>
      <c r="F299" s="221"/>
      <c r="G299" s="222">
        <v>400</v>
      </c>
      <c r="H299" s="222">
        <v>400</v>
      </c>
      <c r="I299" s="222">
        <v>400</v>
      </c>
      <c r="J299" s="214"/>
      <c r="K299" s="214"/>
      <c r="L299" s="214"/>
      <c r="M299" s="214"/>
      <c r="N299" s="214"/>
      <c r="O299" s="214"/>
      <c r="P299" s="214"/>
    </row>
    <row r="300" spans="1:16" ht="63.75">
      <c r="A300" s="220" t="s">
        <v>565</v>
      </c>
      <c r="B300" s="220" t="s">
        <v>30</v>
      </c>
      <c r="C300" s="220" t="s">
        <v>4</v>
      </c>
      <c r="D300" s="220" t="s">
        <v>239</v>
      </c>
      <c r="E300" s="220" t="s">
        <v>401</v>
      </c>
      <c r="F300" s="221"/>
      <c r="G300" s="222">
        <v>400</v>
      </c>
      <c r="H300" s="222">
        <v>400</v>
      </c>
      <c r="I300" s="222">
        <v>400</v>
      </c>
      <c r="J300" s="214"/>
      <c r="K300" s="214"/>
      <c r="L300" s="214"/>
      <c r="M300" s="214"/>
      <c r="N300" s="214"/>
      <c r="O300" s="214"/>
      <c r="P300" s="214"/>
    </row>
    <row r="301" spans="1:16">
      <c r="A301" s="220" t="s">
        <v>566</v>
      </c>
      <c r="B301" s="220" t="s">
        <v>30</v>
      </c>
      <c r="C301" s="220" t="s">
        <v>4</v>
      </c>
      <c r="D301" s="220" t="s">
        <v>239</v>
      </c>
      <c r="E301" s="220" t="s">
        <v>402</v>
      </c>
      <c r="F301" s="221"/>
      <c r="G301" s="222">
        <v>400</v>
      </c>
      <c r="H301" s="222">
        <v>400</v>
      </c>
      <c r="I301" s="222">
        <v>400</v>
      </c>
      <c r="J301" s="214"/>
      <c r="K301" s="214"/>
      <c r="L301" s="214"/>
      <c r="M301" s="214"/>
      <c r="N301" s="214"/>
      <c r="O301" s="214"/>
      <c r="P301" s="214"/>
    </row>
    <row r="302" spans="1:16" ht="140.25">
      <c r="A302" s="220" t="s">
        <v>867</v>
      </c>
      <c r="B302" s="220" t="s">
        <v>30</v>
      </c>
      <c r="C302" s="220" t="s">
        <v>4</v>
      </c>
      <c r="D302" s="220" t="s">
        <v>239</v>
      </c>
      <c r="E302" s="220" t="s">
        <v>403</v>
      </c>
      <c r="F302" s="221"/>
      <c r="G302" s="222">
        <v>400</v>
      </c>
      <c r="H302" s="222">
        <v>400</v>
      </c>
      <c r="I302" s="222">
        <v>400</v>
      </c>
      <c r="J302" s="214"/>
      <c r="K302" s="214"/>
      <c r="L302" s="214"/>
      <c r="M302" s="214"/>
      <c r="N302" s="214"/>
      <c r="O302" s="214"/>
      <c r="P302" s="214"/>
    </row>
    <row r="303" spans="1:16" ht="25.5">
      <c r="A303" s="220" t="s">
        <v>878</v>
      </c>
      <c r="B303" s="220" t="s">
        <v>30</v>
      </c>
      <c r="C303" s="220" t="s">
        <v>4</v>
      </c>
      <c r="D303" s="220" t="s">
        <v>239</v>
      </c>
      <c r="E303" s="220" t="s">
        <v>408</v>
      </c>
      <c r="F303" s="221"/>
      <c r="G303" s="222">
        <v>400</v>
      </c>
      <c r="H303" s="222">
        <v>400</v>
      </c>
      <c r="I303" s="222">
        <v>400</v>
      </c>
      <c r="J303" s="214"/>
      <c r="K303" s="214"/>
      <c r="L303" s="214"/>
      <c r="M303" s="214"/>
      <c r="N303" s="214"/>
      <c r="O303" s="214"/>
      <c r="P303" s="214"/>
    </row>
    <row r="304" spans="1:16" ht="38.25">
      <c r="A304" s="220" t="s">
        <v>833</v>
      </c>
      <c r="B304" s="220" t="s">
        <v>30</v>
      </c>
      <c r="C304" s="220" t="s">
        <v>4</v>
      </c>
      <c r="D304" s="220" t="s">
        <v>239</v>
      </c>
      <c r="E304" s="220" t="s">
        <v>408</v>
      </c>
      <c r="F304" s="220" t="s">
        <v>313</v>
      </c>
      <c r="G304" s="222">
        <v>400</v>
      </c>
      <c r="H304" s="222">
        <v>400</v>
      </c>
      <c r="I304" s="222">
        <v>400</v>
      </c>
      <c r="J304" s="214"/>
      <c r="K304" s="214"/>
      <c r="L304" s="214"/>
      <c r="M304" s="214"/>
      <c r="N304" s="214"/>
      <c r="O304" s="214"/>
      <c r="P304" s="214"/>
    </row>
    <row r="305" spans="1:16">
      <c r="A305" s="220" t="s">
        <v>1333</v>
      </c>
      <c r="B305" s="220" t="s">
        <v>30</v>
      </c>
      <c r="C305" s="220" t="s">
        <v>4</v>
      </c>
      <c r="D305" s="220" t="s">
        <v>237</v>
      </c>
      <c r="E305" s="221"/>
      <c r="F305" s="221"/>
      <c r="G305" s="222">
        <v>4300</v>
      </c>
      <c r="H305" s="222">
        <v>0</v>
      </c>
      <c r="I305" s="222">
        <v>0</v>
      </c>
      <c r="J305" s="214"/>
      <c r="K305" s="214"/>
      <c r="L305" s="214"/>
      <c r="M305" s="214"/>
      <c r="N305" s="214"/>
      <c r="O305" s="214"/>
      <c r="P305" s="214"/>
    </row>
    <row r="306" spans="1:16" ht="63.75">
      <c r="A306" s="220" t="s">
        <v>565</v>
      </c>
      <c r="B306" s="220" t="s">
        <v>30</v>
      </c>
      <c r="C306" s="220" t="s">
        <v>4</v>
      </c>
      <c r="D306" s="220" t="s">
        <v>237</v>
      </c>
      <c r="E306" s="220" t="s">
        <v>401</v>
      </c>
      <c r="F306" s="221"/>
      <c r="G306" s="222">
        <v>4300</v>
      </c>
      <c r="H306" s="222">
        <v>0</v>
      </c>
      <c r="I306" s="222">
        <v>0</v>
      </c>
      <c r="J306" s="214"/>
      <c r="K306" s="214"/>
      <c r="L306" s="214"/>
      <c r="M306" s="214"/>
      <c r="N306" s="214"/>
      <c r="O306" s="214"/>
      <c r="P306" s="214"/>
    </row>
    <row r="307" spans="1:16" ht="25.5">
      <c r="A307" s="220" t="s">
        <v>594</v>
      </c>
      <c r="B307" s="220" t="s">
        <v>30</v>
      </c>
      <c r="C307" s="220" t="s">
        <v>4</v>
      </c>
      <c r="D307" s="220" t="s">
        <v>237</v>
      </c>
      <c r="E307" s="220" t="s">
        <v>515</v>
      </c>
      <c r="F307" s="221"/>
      <c r="G307" s="222">
        <v>4300</v>
      </c>
      <c r="H307" s="222">
        <v>0</v>
      </c>
      <c r="I307" s="222">
        <v>0</v>
      </c>
      <c r="J307" s="214"/>
      <c r="K307" s="214"/>
      <c r="L307" s="214"/>
      <c r="M307" s="214"/>
      <c r="N307" s="214"/>
      <c r="O307" s="214"/>
      <c r="P307" s="214"/>
    </row>
    <row r="308" spans="1:16" ht="25.5">
      <c r="A308" s="220" t="s">
        <v>1256</v>
      </c>
      <c r="B308" s="220" t="s">
        <v>30</v>
      </c>
      <c r="C308" s="220" t="s">
        <v>4</v>
      </c>
      <c r="D308" s="220" t="s">
        <v>237</v>
      </c>
      <c r="E308" s="220" t="s">
        <v>516</v>
      </c>
      <c r="F308" s="221"/>
      <c r="G308" s="222">
        <v>4300</v>
      </c>
      <c r="H308" s="222">
        <v>0</v>
      </c>
      <c r="I308" s="222">
        <v>0</v>
      </c>
      <c r="J308" s="214"/>
      <c r="K308" s="214"/>
      <c r="L308" s="214"/>
      <c r="M308" s="214"/>
      <c r="N308" s="214"/>
      <c r="O308" s="214"/>
      <c r="P308" s="214"/>
    </row>
    <row r="309" spans="1:16" ht="38.25">
      <c r="A309" s="220" t="s">
        <v>1332</v>
      </c>
      <c r="B309" s="220" t="s">
        <v>30</v>
      </c>
      <c r="C309" s="220" t="s">
        <v>4</v>
      </c>
      <c r="D309" s="220" t="s">
        <v>237</v>
      </c>
      <c r="E309" s="220" t="s">
        <v>1305</v>
      </c>
      <c r="F309" s="221"/>
      <c r="G309" s="222">
        <v>4300</v>
      </c>
      <c r="H309" s="222">
        <v>0</v>
      </c>
      <c r="I309" s="222">
        <v>0</v>
      </c>
      <c r="J309" s="214"/>
      <c r="K309" s="214"/>
      <c r="L309" s="214"/>
      <c r="M309" s="214"/>
      <c r="N309" s="214"/>
      <c r="O309" s="214"/>
      <c r="P309" s="214"/>
    </row>
    <row r="310" spans="1:16" ht="38.25">
      <c r="A310" s="220" t="s">
        <v>894</v>
      </c>
      <c r="B310" s="220" t="s">
        <v>30</v>
      </c>
      <c r="C310" s="220" t="s">
        <v>4</v>
      </c>
      <c r="D310" s="220" t="s">
        <v>237</v>
      </c>
      <c r="E310" s="220" t="s">
        <v>1305</v>
      </c>
      <c r="F310" s="220" t="s">
        <v>317</v>
      </c>
      <c r="G310" s="222">
        <v>4300</v>
      </c>
      <c r="H310" s="222">
        <v>0</v>
      </c>
      <c r="I310" s="222">
        <v>0</v>
      </c>
      <c r="J310" s="214"/>
      <c r="K310" s="214"/>
      <c r="L310" s="214"/>
      <c r="M310" s="214"/>
      <c r="N310" s="214"/>
      <c r="O310" s="214"/>
      <c r="P310" s="214"/>
    </row>
    <row r="311" spans="1:16">
      <c r="A311" s="220" t="s">
        <v>577</v>
      </c>
      <c r="B311" s="220" t="s">
        <v>30</v>
      </c>
      <c r="C311" s="220" t="s">
        <v>4</v>
      </c>
      <c r="D311" s="220" t="s">
        <v>241</v>
      </c>
      <c r="E311" s="221"/>
      <c r="F311" s="221"/>
      <c r="G311" s="222">
        <v>62887.583700000003</v>
      </c>
      <c r="H311" s="222">
        <v>46079.405939999997</v>
      </c>
      <c r="I311" s="222">
        <v>46079.405939999997</v>
      </c>
      <c r="J311" s="214"/>
      <c r="K311" s="214"/>
      <c r="L311" s="214"/>
      <c r="M311" s="214"/>
      <c r="N311" s="214"/>
      <c r="O311" s="214"/>
      <c r="P311" s="214"/>
    </row>
    <row r="312" spans="1:16" ht="63.75">
      <c r="A312" s="220" t="s">
        <v>565</v>
      </c>
      <c r="B312" s="220" t="s">
        <v>30</v>
      </c>
      <c r="C312" s="220" t="s">
        <v>4</v>
      </c>
      <c r="D312" s="220" t="s">
        <v>241</v>
      </c>
      <c r="E312" s="220" t="s">
        <v>401</v>
      </c>
      <c r="F312" s="221"/>
      <c r="G312" s="222">
        <v>35825.695</v>
      </c>
      <c r="H312" s="222">
        <v>27718.695</v>
      </c>
      <c r="I312" s="222">
        <v>27718.695</v>
      </c>
      <c r="J312" s="214"/>
      <c r="K312" s="214"/>
      <c r="L312" s="214"/>
      <c r="M312" s="214"/>
      <c r="N312" s="214"/>
      <c r="O312" s="214"/>
      <c r="P312" s="214"/>
    </row>
    <row r="313" spans="1:16" ht="25.5">
      <c r="A313" s="220" t="s">
        <v>594</v>
      </c>
      <c r="B313" s="220" t="s">
        <v>30</v>
      </c>
      <c r="C313" s="220" t="s">
        <v>4</v>
      </c>
      <c r="D313" s="220" t="s">
        <v>241</v>
      </c>
      <c r="E313" s="220" t="s">
        <v>515</v>
      </c>
      <c r="F313" s="221"/>
      <c r="G313" s="222">
        <v>35825.695</v>
      </c>
      <c r="H313" s="222">
        <v>27718.695</v>
      </c>
      <c r="I313" s="222">
        <v>27718.695</v>
      </c>
      <c r="J313" s="214"/>
      <c r="K313" s="214"/>
      <c r="L313" s="214"/>
      <c r="M313" s="214"/>
      <c r="N313" s="214"/>
      <c r="O313" s="214"/>
      <c r="P313" s="214"/>
    </row>
    <row r="314" spans="1:16" ht="25.5">
      <c r="A314" s="220" t="s">
        <v>1256</v>
      </c>
      <c r="B314" s="220" t="s">
        <v>30</v>
      </c>
      <c r="C314" s="220" t="s">
        <v>4</v>
      </c>
      <c r="D314" s="220" t="s">
        <v>241</v>
      </c>
      <c r="E314" s="220" t="s">
        <v>516</v>
      </c>
      <c r="F314" s="221"/>
      <c r="G314" s="222">
        <v>35825.695</v>
      </c>
      <c r="H314" s="222">
        <v>27718.695</v>
      </c>
      <c r="I314" s="222">
        <v>27718.695</v>
      </c>
      <c r="J314" s="214"/>
      <c r="K314" s="214"/>
      <c r="L314" s="214"/>
      <c r="M314" s="214"/>
      <c r="N314" s="214"/>
      <c r="O314" s="214"/>
      <c r="P314" s="214"/>
    </row>
    <row r="315" spans="1:16" ht="25.5">
      <c r="A315" s="220" t="s">
        <v>970</v>
      </c>
      <c r="B315" s="220" t="s">
        <v>30</v>
      </c>
      <c r="C315" s="220" t="s">
        <v>4</v>
      </c>
      <c r="D315" s="220" t="s">
        <v>241</v>
      </c>
      <c r="E315" s="220" t="s">
        <v>1138</v>
      </c>
      <c r="F315" s="221"/>
      <c r="G315" s="222">
        <v>22461.895</v>
      </c>
      <c r="H315" s="222">
        <v>22461.895</v>
      </c>
      <c r="I315" s="222">
        <v>22461.895</v>
      </c>
      <c r="J315" s="214"/>
      <c r="K315" s="214"/>
      <c r="L315" s="214"/>
      <c r="M315" s="214"/>
      <c r="N315" s="214"/>
      <c r="O315" s="214"/>
      <c r="P315" s="214"/>
    </row>
    <row r="316" spans="1:16" ht="38.25">
      <c r="A316" s="220" t="s">
        <v>830</v>
      </c>
      <c r="B316" s="220" t="s">
        <v>30</v>
      </c>
      <c r="C316" s="220" t="s">
        <v>4</v>
      </c>
      <c r="D316" s="220" t="s">
        <v>241</v>
      </c>
      <c r="E316" s="220" t="s">
        <v>1138</v>
      </c>
      <c r="F316" s="220" t="s">
        <v>315</v>
      </c>
      <c r="G316" s="222">
        <v>22461.895</v>
      </c>
      <c r="H316" s="222">
        <v>22461.895</v>
      </c>
      <c r="I316" s="222">
        <v>22461.895</v>
      </c>
      <c r="J316" s="214"/>
      <c r="K316" s="214"/>
      <c r="L316" s="214"/>
      <c r="M316" s="214"/>
      <c r="N316" s="214"/>
      <c r="O316" s="214"/>
      <c r="P316" s="214"/>
    </row>
    <row r="317" spans="1:16" ht="25.5">
      <c r="A317" s="220" t="s">
        <v>884</v>
      </c>
      <c r="B317" s="220" t="s">
        <v>30</v>
      </c>
      <c r="C317" s="220" t="s">
        <v>4</v>
      </c>
      <c r="D317" s="220" t="s">
        <v>241</v>
      </c>
      <c r="E317" s="220" t="s">
        <v>1139</v>
      </c>
      <c r="F317" s="221"/>
      <c r="G317" s="222">
        <v>5256.8</v>
      </c>
      <c r="H317" s="222">
        <v>5256.8</v>
      </c>
      <c r="I317" s="222">
        <v>5256.8</v>
      </c>
      <c r="J317" s="214"/>
      <c r="K317" s="214"/>
      <c r="L317" s="214"/>
      <c r="M317" s="214"/>
      <c r="N317" s="214"/>
      <c r="O317" s="214"/>
      <c r="P317" s="214"/>
    </row>
    <row r="318" spans="1:16" ht="38.25">
      <c r="A318" s="220" t="s">
        <v>830</v>
      </c>
      <c r="B318" s="220" t="s">
        <v>30</v>
      </c>
      <c r="C318" s="220" t="s">
        <v>4</v>
      </c>
      <c r="D318" s="220" t="s">
        <v>241</v>
      </c>
      <c r="E318" s="220" t="s">
        <v>1139</v>
      </c>
      <c r="F318" s="220" t="s">
        <v>315</v>
      </c>
      <c r="G318" s="222">
        <v>5256.8</v>
      </c>
      <c r="H318" s="222">
        <v>5256.8</v>
      </c>
      <c r="I318" s="222">
        <v>5256.8</v>
      </c>
      <c r="J318" s="214"/>
      <c r="K318" s="214"/>
      <c r="L318" s="214"/>
      <c r="M318" s="214"/>
      <c r="N318" s="214"/>
      <c r="O318" s="214"/>
      <c r="P318" s="214"/>
    </row>
    <row r="319" spans="1:16" ht="38.25">
      <c r="A319" s="220" t="s">
        <v>1332</v>
      </c>
      <c r="B319" s="220" t="s">
        <v>30</v>
      </c>
      <c r="C319" s="220" t="s">
        <v>4</v>
      </c>
      <c r="D319" s="220" t="s">
        <v>241</v>
      </c>
      <c r="E319" s="220" t="s">
        <v>1305</v>
      </c>
      <c r="F319" s="221"/>
      <c r="G319" s="222">
        <v>7590</v>
      </c>
      <c r="H319" s="222">
        <v>0</v>
      </c>
      <c r="I319" s="222">
        <v>0</v>
      </c>
      <c r="J319" s="214"/>
      <c r="K319" s="214"/>
      <c r="L319" s="214"/>
      <c r="M319" s="214"/>
      <c r="N319" s="214"/>
      <c r="O319" s="214"/>
      <c r="P319" s="214"/>
    </row>
    <row r="320" spans="1:16" ht="38.25">
      <c r="A320" s="220" t="s">
        <v>894</v>
      </c>
      <c r="B320" s="220" t="s">
        <v>30</v>
      </c>
      <c r="C320" s="220" t="s">
        <v>4</v>
      </c>
      <c r="D320" s="220" t="s">
        <v>241</v>
      </c>
      <c r="E320" s="220" t="s">
        <v>1305</v>
      </c>
      <c r="F320" s="220" t="s">
        <v>317</v>
      </c>
      <c r="G320" s="222">
        <v>7590</v>
      </c>
      <c r="H320" s="222">
        <v>0</v>
      </c>
      <c r="I320" s="222">
        <v>0</v>
      </c>
      <c r="J320" s="214"/>
      <c r="K320" s="214"/>
      <c r="L320" s="214"/>
      <c r="M320" s="214"/>
      <c r="N320" s="214"/>
      <c r="O320" s="214"/>
      <c r="P320" s="214"/>
    </row>
    <row r="321" spans="1:16" ht="25.5">
      <c r="A321" s="220" t="s">
        <v>950</v>
      </c>
      <c r="B321" s="220" t="s">
        <v>30</v>
      </c>
      <c r="C321" s="220" t="s">
        <v>4</v>
      </c>
      <c r="D321" s="220" t="s">
        <v>241</v>
      </c>
      <c r="E321" s="220" t="s">
        <v>1140</v>
      </c>
      <c r="F321" s="221"/>
      <c r="G321" s="222">
        <v>517</v>
      </c>
      <c r="H321" s="222">
        <v>0</v>
      </c>
      <c r="I321" s="222">
        <v>0</v>
      </c>
      <c r="J321" s="214"/>
      <c r="K321" s="214"/>
      <c r="L321" s="214"/>
      <c r="M321" s="214"/>
      <c r="N321" s="214"/>
      <c r="O321" s="214"/>
      <c r="P321" s="214"/>
    </row>
    <row r="322" spans="1:16" ht="38.25">
      <c r="A322" s="220" t="s">
        <v>830</v>
      </c>
      <c r="B322" s="220" t="s">
        <v>30</v>
      </c>
      <c r="C322" s="220" t="s">
        <v>4</v>
      </c>
      <c r="D322" s="220" t="s">
        <v>241</v>
      </c>
      <c r="E322" s="220" t="s">
        <v>1140</v>
      </c>
      <c r="F322" s="220" t="s">
        <v>315</v>
      </c>
      <c r="G322" s="222">
        <v>517</v>
      </c>
      <c r="H322" s="222">
        <v>0</v>
      </c>
      <c r="I322" s="222">
        <v>0</v>
      </c>
      <c r="J322" s="214"/>
      <c r="K322" s="214"/>
      <c r="L322" s="214"/>
      <c r="M322" s="214"/>
      <c r="N322" s="214"/>
      <c r="O322" s="214"/>
      <c r="P322" s="214"/>
    </row>
    <row r="323" spans="1:16" ht="38.25">
      <c r="A323" s="220" t="s">
        <v>568</v>
      </c>
      <c r="B323" s="220" t="s">
        <v>30</v>
      </c>
      <c r="C323" s="220" t="s">
        <v>4</v>
      </c>
      <c r="D323" s="220" t="s">
        <v>241</v>
      </c>
      <c r="E323" s="220" t="s">
        <v>434</v>
      </c>
      <c r="F323" s="221"/>
      <c r="G323" s="222">
        <v>23903.8887</v>
      </c>
      <c r="H323" s="222">
        <v>18360.710940000001</v>
      </c>
      <c r="I323" s="222">
        <v>18360.710940000001</v>
      </c>
      <c r="J323" s="214"/>
      <c r="K323" s="214"/>
      <c r="L323" s="214"/>
      <c r="M323" s="214"/>
      <c r="N323" s="214"/>
      <c r="O323" s="214"/>
      <c r="P323" s="214"/>
    </row>
    <row r="324" spans="1:16" ht="25.5">
      <c r="A324" s="220" t="s">
        <v>569</v>
      </c>
      <c r="B324" s="220" t="s">
        <v>30</v>
      </c>
      <c r="C324" s="220" t="s">
        <v>4</v>
      </c>
      <c r="D324" s="220" t="s">
        <v>241</v>
      </c>
      <c r="E324" s="220" t="s">
        <v>435</v>
      </c>
      <c r="F324" s="221"/>
      <c r="G324" s="222">
        <v>23903.8887</v>
      </c>
      <c r="H324" s="222">
        <v>18360.710940000001</v>
      </c>
      <c r="I324" s="222">
        <v>18360.710940000001</v>
      </c>
      <c r="J324" s="214"/>
      <c r="K324" s="214"/>
      <c r="L324" s="214"/>
      <c r="M324" s="214"/>
      <c r="N324" s="214"/>
      <c r="O324" s="214"/>
      <c r="P324" s="214"/>
    </row>
    <row r="325" spans="1:16" ht="38.25">
      <c r="A325" s="220" t="s">
        <v>886</v>
      </c>
      <c r="B325" s="220" t="s">
        <v>30</v>
      </c>
      <c r="C325" s="220" t="s">
        <v>4</v>
      </c>
      <c r="D325" s="220" t="s">
        <v>241</v>
      </c>
      <c r="E325" s="220" t="s">
        <v>436</v>
      </c>
      <c r="F325" s="221"/>
      <c r="G325" s="222">
        <v>16293.3987</v>
      </c>
      <c r="H325" s="222">
        <v>10041.16287</v>
      </c>
      <c r="I325" s="222">
        <v>10041.16287</v>
      </c>
      <c r="J325" s="214"/>
      <c r="K325" s="214"/>
      <c r="L325" s="214"/>
      <c r="M325" s="214"/>
      <c r="N325" s="214"/>
      <c r="O325" s="214"/>
      <c r="P325" s="214"/>
    </row>
    <row r="326" spans="1:16" ht="25.5">
      <c r="A326" s="220" t="s">
        <v>970</v>
      </c>
      <c r="B326" s="220" t="s">
        <v>30</v>
      </c>
      <c r="C326" s="220" t="s">
        <v>4</v>
      </c>
      <c r="D326" s="220" t="s">
        <v>241</v>
      </c>
      <c r="E326" s="220" t="s">
        <v>969</v>
      </c>
      <c r="F326" s="221"/>
      <c r="G326" s="222">
        <v>532.96</v>
      </c>
      <c r="H326" s="222">
        <v>463.87979999999999</v>
      </c>
      <c r="I326" s="222">
        <v>463.87979999999999</v>
      </c>
      <c r="J326" s="214"/>
      <c r="K326" s="214"/>
      <c r="L326" s="214"/>
      <c r="M326" s="214"/>
      <c r="N326" s="214"/>
      <c r="O326" s="214"/>
      <c r="P326" s="214"/>
    </row>
    <row r="327" spans="1:16" ht="38.25">
      <c r="A327" s="220" t="s">
        <v>830</v>
      </c>
      <c r="B327" s="220" t="s">
        <v>30</v>
      </c>
      <c r="C327" s="220" t="s">
        <v>4</v>
      </c>
      <c r="D327" s="220" t="s">
        <v>241</v>
      </c>
      <c r="E327" s="220" t="s">
        <v>969</v>
      </c>
      <c r="F327" s="220" t="s">
        <v>315</v>
      </c>
      <c r="G327" s="222">
        <v>532.96</v>
      </c>
      <c r="H327" s="222">
        <v>463.87979999999999</v>
      </c>
      <c r="I327" s="222">
        <v>463.87979999999999</v>
      </c>
      <c r="J327" s="214"/>
      <c r="K327" s="214"/>
      <c r="L327" s="214"/>
      <c r="M327" s="214"/>
      <c r="N327" s="214"/>
      <c r="O327" s="214"/>
      <c r="P327" s="214"/>
    </row>
    <row r="328" spans="1:16" ht="25.5">
      <c r="A328" s="220" t="s">
        <v>951</v>
      </c>
      <c r="B328" s="220" t="s">
        <v>30</v>
      </c>
      <c r="C328" s="220" t="s">
        <v>4</v>
      </c>
      <c r="D328" s="220" t="s">
        <v>241</v>
      </c>
      <c r="E328" s="220" t="s">
        <v>1162</v>
      </c>
      <c r="F328" s="221"/>
      <c r="G328" s="222">
        <v>128.87</v>
      </c>
      <c r="H328" s="222">
        <v>128.87</v>
      </c>
      <c r="I328" s="222">
        <v>128.87</v>
      </c>
      <c r="J328" s="214"/>
      <c r="K328" s="214"/>
      <c r="L328" s="214"/>
      <c r="M328" s="214"/>
      <c r="N328" s="214"/>
      <c r="O328" s="214"/>
      <c r="P328" s="214"/>
    </row>
    <row r="329" spans="1:16" ht="38.25">
      <c r="A329" s="220" t="s">
        <v>830</v>
      </c>
      <c r="B329" s="220" t="s">
        <v>30</v>
      </c>
      <c r="C329" s="220" t="s">
        <v>4</v>
      </c>
      <c r="D329" s="220" t="s">
        <v>241</v>
      </c>
      <c r="E329" s="220" t="s">
        <v>1162</v>
      </c>
      <c r="F329" s="220" t="s">
        <v>315</v>
      </c>
      <c r="G329" s="222">
        <v>128.87</v>
      </c>
      <c r="H329" s="222">
        <v>128.87</v>
      </c>
      <c r="I329" s="222">
        <v>128.87</v>
      </c>
      <c r="J329" s="214"/>
      <c r="K329" s="214"/>
      <c r="L329" s="214"/>
      <c r="M329" s="214"/>
      <c r="N329" s="214"/>
      <c r="O329" s="214"/>
      <c r="P329" s="214"/>
    </row>
    <row r="330" spans="1:16" ht="51">
      <c r="A330" s="220" t="s">
        <v>887</v>
      </c>
      <c r="B330" s="220" t="s">
        <v>30</v>
      </c>
      <c r="C330" s="220" t="s">
        <v>4</v>
      </c>
      <c r="D330" s="220" t="s">
        <v>241</v>
      </c>
      <c r="E330" s="220" t="s">
        <v>1163</v>
      </c>
      <c r="F330" s="221"/>
      <c r="G330" s="222">
        <v>12691.6587</v>
      </c>
      <c r="H330" s="222">
        <v>7548.4130699999996</v>
      </c>
      <c r="I330" s="222">
        <v>7548.4130699999996</v>
      </c>
      <c r="J330" s="214"/>
      <c r="K330" s="214"/>
      <c r="L330" s="214"/>
      <c r="M330" s="214"/>
      <c r="N330" s="214"/>
      <c r="O330" s="214"/>
      <c r="P330" s="214"/>
    </row>
    <row r="331" spans="1:16" ht="38.25">
      <c r="A331" s="220" t="s">
        <v>830</v>
      </c>
      <c r="B331" s="220" t="s">
        <v>30</v>
      </c>
      <c r="C331" s="220" t="s">
        <v>4</v>
      </c>
      <c r="D331" s="220" t="s">
        <v>241</v>
      </c>
      <c r="E331" s="220" t="s">
        <v>1163</v>
      </c>
      <c r="F331" s="220" t="s">
        <v>315</v>
      </c>
      <c r="G331" s="222">
        <v>12691.6587</v>
      </c>
      <c r="H331" s="222">
        <v>7548.4130699999996</v>
      </c>
      <c r="I331" s="222">
        <v>7548.4130699999996</v>
      </c>
      <c r="J331" s="214"/>
      <c r="K331" s="214"/>
      <c r="L331" s="214"/>
      <c r="M331" s="214"/>
      <c r="N331" s="214"/>
      <c r="O331" s="214"/>
      <c r="P331" s="214"/>
    </row>
    <row r="332" spans="1:16" ht="25.5">
      <c r="A332" s="220" t="s">
        <v>888</v>
      </c>
      <c r="B332" s="220" t="s">
        <v>30</v>
      </c>
      <c r="C332" s="220" t="s">
        <v>4</v>
      </c>
      <c r="D332" s="220" t="s">
        <v>241</v>
      </c>
      <c r="E332" s="220" t="s">
        <v>1164</v>
      </c>
      <c r="F332" s="221"/>
      <c r="G332" s="222">
        <v>150</v>
      </c>
      <c r="H332" s="222">
        <v>150</v>
      </c>
      <c r="I332" s="222">
        <v>150</v>
      </c>
      <c r="J332" s="214"/>
      <c r="K332" s="214"/>
      <c r="L332" s="214"/>
      <c r="M332" s="214"/>
      <c r="N332" s="214"/>
      <c r="O332" s="214"/>
      <c r="P332" s="214"/>
    </row>
    <row r="333" spans="1:16" ht="38.25">
      <c r="A333" s="220" t="s">
        <v>830</v>
      </c>
      <c r="B333" s="220" t="s">
        <v>30</v>
      </c>
      <c r="C333" s="220" t="s">
        <v>4</v>
      </c>
      <c r="D333" s="220" t="s">
        <v>241</v>
      </c>
      <c r="E333" s="220" t="s">
        <v>1164</v>
      </c>
      <c r="F333" s="220" t="s">
        <v>315</v>
      </c>
      <c r="G333" s="222">
        <v>150</v>
      </c>
      <c r="H333" s="222">
        <v>150</v>
      </c>
      <c r="I333" s="222">
        <v>150</v>
      </c>
      <c r="J333" s="214"/>
      <c r="K333" s="214"/>
      <c r="L333" s="214"/>
      <c r="M333" s="214"/>
      <c r="N333" s="214"/>
      <c r="O333" s="214"/>
      <c r="P333" s="214"/>
    </row>
    <row r="334" spans="1:16" ht="38.25">
      <c r="A334" s="220" t="s">
        <v>1334</v>
      </c>
      <c r="B334" s="220" t="s">
        <v>30</v>
      </c>
      <c r="C334" s="220" t="s">
        <v>4</v>
      </c>
      <c r="D334" s="220" t="s">
        <v>241</v>
      </c>
      <c r="E334" s="220" t="s">
        <v>1309</v>
      </c>
      <c r="F334" s="221"/>
      <c r="G334" s="222">
        <v>1000</v>
      </c>
      <c r="H334" s="222">
        <v>0</v>
      </c>
      <c r="I334" s="222">
        <v>0</v>
      </c>
      <c r="J334" s="214"/>
      <c r="K334" s="214"/>
      <c r="L334" s="214"/>
      <c r="M334" s="214"/>
      <c r="N334" s="214"/>
      <c r="O334" s="214"/>
      <c r="P334" s="214"/>
    </row>
    <row r="335" spans="1:16" ht="38.25">
      <c r="A335" s="220" t="s">
        <v>894</v>
      </c>
      <c r="B335" s="220" t="s">
        <v>30</v>
      </c>
      <c r="C335" s="220" t="s">
        <v>4</v>
      </c>
      <c r="D335" s="220" t="s">
        <v>241</v>
      </c>
      <c r="E335" s="220" t="s">
        <v>1309</v>
      </c>
      <c r="F335" s="220" t="s">
        <v>317</v>
      </c>
      <c r="G335" s="222">
        <v>1000</v>
      </c>
      <c r="H335" s="222">
        <v>0</v>
      </c>
      <c r="I335" s="222">
        <v>0</v>
      </c>
      <c r="J335" s="214"/>
      <c r="K335" s="214"/>
      <c r="L335" s="214"/>
      <c r="M335" s="214"/>
      <c r="N335" s="214"/>
      <c r="O335" s="214"/>
      <c r="P335" s="214"/>
    </row>
    <row r="336" spans="1:16" ht="51">
      <c r="A336" s="220" t="s">
        <v>1257</v>
      </c>
      <c r="B336" s="220" t="s">
        <v>30</v>
      </c>
      <c r="C336" s="220" t="s">
        <v>4</v>
      </c>
      <c r="D336" s="220" t="s">
        <v>241</v>
      </c>
      <c r="E336" s="220" t="s">
        <v>1166</v>
      </c>
      <c r="F336" s="221"/>
      <c r="G336" s="222">
        <v>500</v>
      </c>
      <c r="H336" s="222">
        <v>500</v>
      </c>
      <c r="I336" s="222">
        <v>500</v>
      </c>
      <c r="J336" s="214"/>
      <c r="K336" s="214"/>
      <c r="L336" s="214"/>
      <c r="M336" s="214"/>
      <c r="N336" s="214"/>
      <c r="O336" s="214"/>
      <c r="P336" s="214"/>
    </row>
    <row r="337" spans="1:16" ht="38.25">
      <c r="A337" s="220" t="s">
        <v>830</v>
      </c>
      <c r="B337" s="220" t="s">
        <v>30</v>
      </c>
      <c r="C337" s="220" t="s">
        <v>4</v>
      </c>
      <c r="D337" s="220" t="s">
        <v>241</v>
      </c>
      <c r="E337" s="220" t="s">
        <v>1166</v>
      </c>
      <c r="F337" s="220" t="s">
        <v>315</v>
      </c>
      <c r="G337" s="222">
        <v>500</v>
      </c>
      <c r="H337" s="222">
        <v>500</v>
      </c>
      <c r="I337" s="222">
        <v>500</v>
      </c>
      <c r="J337" s="214"/>
      <c r="K337" s="214"/>
      <c r="L337" s="214"/>
      <c r="M337" s="214"/>
      <c r="N337" s="214"/>
      <c r="O337" s="214"/>
      <c r="P337" s="214"/>
    </row>
    <row r="338" spans="1:16">
      <c r="A338" s="220" t="s">
        <v>1258</v>
      </c>
      <c r="B338" s="220" t="s">
        <v>30</v>
      </c>
      <c r="C338" s="220" t="s">
        <v>4</v>
      </c>
      <c r="D338" s="220" t="s">
        <v>241</v>
      </c>
      <c r="E338" s="220" t="s">
        <v>1168</v>
      </c>
      <c r="F338" s="221"/>
      <c r="G338" s="222">
        <v>1289.9100000000001</v>
      </c>
      <c r="H338" s="222">
        <v>1250</v>
      </c>
      <c r="I338" s="222">
        <v>1250</v>
      </c>
      <c r="J338" s="214"/>
      <c r="K338" s="214"/>
      <c r="L338" s="214"/>
      <c r="M338" s="214"/>
      <c r="N338" s="214"/>
      <c r="O338" s="214"/>
      <c r="P338" s="214"/>
    </row>
    <row r="339" spans="1:16" ht="38.25">
      <c r="A339" s="220" t="s">
        <v>833</v>
      </c>
      <c r="B339" s="220" t="s">
        <v>30</v>
      </c>
      <c r="C339" s="220" t="s">
        <v>4</v>
      </c>
      <c r="D339" s="220" t="s">
        <v>241</v>
      </c>
      <c r="E339" s="220" t="s">
        <v>1168</v>
      </c>
      <c r="F339" s="220" t="s">
        <v>313</v>
      </c>
      <c r="G339" s="222">
        <v>39.909999999999997</v>
      </c>
      <c r="H339" s="222">
        <v>0</v>
      </c>
      <c r="I339" s="222">
        <v>0</v>
      </c>
      <c r="J339" s="214"/>
      <c r="K339" s="214"/>
      <c r="L339" s="214"/>
      <c r="M339" s="214"/>
      <c r="N339" s="214"/>
      <c r="O339" s="214"/>
      <c r="P339" s="214"/>
    </row>
    <row r="340" spans="1:16" ht="38.25">
      <c r="A340" s="220" t="s">
        <v>830</v>
      </c>
      <c r="B340" s="220" t="s">
        <v>30</v>
      </c>
      <c r="C340" s="220" t="s">
        <v>4</v>
      </c>
      <c r="D340" s="220" t="s">
        <v>241</v>
      </c>
      <c r="E340" s="220" t="s">
        <v>1168</v>
      </c>
      <c r="F340" s="220" t="s">
        <v>315</v>
      </c>
      <c r="G340" s="222">
        <v>1250</v>
      </c>
      <c r="H340" s="222">
        <v>1250</v>
      </c>
      <c r="I340" s="222">
        <v>1250</v>
      </c>
      <c r="J340" s="214"/>
      <c r="K340" s="214"/>
      <c r="L340" s="214"/>
      <c r="M340" s="214"/>
      <c r="N340" s="214"/>
      <c r="O340" s="214"/>
      <c r="P340" s="214"/>
    </row>
    <row r="341" spans="1:16" ht="63.75">
      <c r="A341" s="220" t="s">
        <v>1259</v>
      </c>
      <c r="B341" s="220" t="s">
        <v>30</v>
      </c>
      <c r="C341" s="220" t="s">
        <v>4</v>
      </c>
      <c r="D341" s="220" t="s">
        <v>241</v>
      </c>
      <c r="E341" s="220" t="s">
        <v>1170</v>
      </c>
      <c r="F341" s="221"/>
      <c r="G341" s="222">
        <v>7610.49</v>
      </c>
      <c r="H341" s="222">
        <v>8319.5480700000007</v>
      </c>
      <c r="I341" s="222">
        <v>8319.5480700000007</v>
      </c>
      <c r="J341" s="214"/>
      <c r="K341" s="214"/>
      <c r="L341" s="214"/>
      <c r="M341" s="214"/>
      <c r="N341" s="214"/>
      <c r="O341" s="214"/>
      <c r="P341" s="214"/>
    </row>
    <row r="342" spans="1:16" ht="25.5">
      <c r="A342" s="220" t="s">
        <v>970</v>
      </c>
      <c r="B342" s="220" t="s">
        <v>30</v>
      </c>
      <c r="C342" s="220" t="s">
        <v>4</v>
      </c>
      <c r="D342" s="220" t="s">
        <v>241</v>
      </c>
      <c r="E342" s="220" t="s">
        <v>1171</v>
      </c>
      <c r="F342" s="221"/>
      <c r="G342" s="222">
        <v>5329.87</v>
      </c>
      <c r="H342" s="222">
        <v>5842.3543200000004</v>
      </c>
      <c r="I342" s="222">
        <v>5842.3543200000004</v>
      </c>
      <c r="J342" s="214"/>
      <c r="K342" s="214"/>
      <c r="L342" s="214"/>
      <c r="M342" s="214"/>
      <c r="N342" s="214"/>
      <c r="O342" s="214"/>
      <c r="P342" s="214"/>
    </row>
    <row r="343" spans="1:16" ht="38.25">
      <c r="A343" s="220" t="s">
        <v>830</v>
      </c>
      <c r="B343" s="220" t="s">
        <v>30</v>
      </c>
      <c r="C343" s="220" t="s">
        <v>4</v>
      </c>
      <c r="D343" s="220" t="s">
        <v>241</v>
      </c>
      <c r="E343" s="220" t="s">
        <v>1171</v>
      </c>
      <c r="F343" s="220" t="s">
        <v>315</v>
      </c>
      <c r="G343" s="222">
        <v>5329.87</v>
      </c>
      <c r="H343" s="222">
        <v>5842.3543200000004</v>
      </c>
      <c r="I343" s="222">
        <v>5842.3543200000004</v>
      </c>
      <c r="J343" s="214"/>
      <c r="K343" s="214"/>
      <c r="L343" s="214"/>
      <c r="M343" s="214"/>
      <c r="N343" s="214"/>
      <c r="O343" s="214"/>
      <c r="P343" s="214"/>
    </row>
    <row r="344" spans="1:16" ht="25.5">
      <c r="A344" s="220" t="s">
        <v>885</v>
      </c>
      <c r="B344" s="220" t="s">
        <v>30</v>
      </c>
      <c r="C344" s="220" t="s">
        <v>4</v>
      </c>
      <c r="D344" s="220" t="s">
        <v>241</v>
      </c>
      <c r="E344" s="220" t="s">
        <v>1172</v>
      </c>
      <c r="F344" s="221"/>
      <c r="G344" s="222">
        <v>2280.62</v>
      </c>
      <c r="H344" s="222">
        <v>2477.1937499999999</v>
      </c>
      <c r="I344" s="222">
        <v>2477.1937499999999</v>
      </c>
      <c r="J344" s="214"/>
      <c r="K344" s="214"/>
      <c r="L344" s="214"/>
      <c r="M344" s="214"/>
      <c r="N344" s="214"/>
      <c r="O344" s="214"/>
      <c r="P344" s="214"/>
    </row>
    <row r="345" spans="1:16" ht="38.25">
      <c r="A345" s="220" t="s">
        <v>830</v>
      </c>
      <c r="B345" s="220" t="s">
        <v>30</v>
      </c>
      <c r="C345" s="220" t="s">
        <v>4</v>
      </c>
      <c r="D345" s="220" t="s">
        <v>241</v>
      </c>
      <c r="E345" s="220" t="s">
        <v>1172</v>
      </c>
      <c r="F345" s="220" t="s">
        <v>315</v>
      </c>
      <c r="G345" s="222">
        <v>2280.62</v>
      </c>
      <c r="H345" s="222">
        <v>2477.1937499999999</v>
      </c>
      <c r="I345" s="222">
        <v>2477.1937499999999</v>
      </c>
      <c r="J345" s="214"/>
      <c r="K345" s="214"/>
      <c r="L345" s="214"/>
      <c r="M345" s="214"/>
      <c r="N345" s="214"/>
      <c r="O345" s="214"/>
      <c r="P345" s="214"/>
    </row>
    <row r="346" spans="1:16" ht="63.75">
      <c r="A346" s="220" t="s">
        <v>1335</v>
      </c>
      <c r="B346" s="220" t="s">
        <v>30</v>
      </c>
      <c r="C346" s="220" t="s">
        <v>4</v>
      </c>
      <c r="D346" s="220" t="s">
        <v>241</v>
      </c>
      <c r="E346" s="220" t="s">
        <v>1313</v>
      </c>
      <c r="F346" s="221"/>
      <c r="G346" s="222">
        <v>3158</v>
      </c>
      <c r="H346" s="222">
        <v>0</v>
      </c>
      <c r="I346" s="222">
        <v>0</v>
      </c>
      <c r="J346" s="214"/>
      <c r="K346" s="214"/>
      <c r="L346" s="214"/>
      <c r="M346" s="214"/>
      <c r="N346" s="214"/>
      <c r="O346" s="214"/>
      <c r="P346" s="214"/>
    </row>
    <row r="347" spans="1:16" ht="38.25">
      <c r="A347" s="220" t="s">
        <v>1336</v>
      </c>
      <c r="B347" s="220" t="s">
        <v>30</v>
      </c>
      <c r="C347" s="220" t="s">
        <v>4</v>
      </c>
      <c r="D347" s="220" t="s">
        <v>241</v>
      </c>
      <c r="E347" s="220" t="s">
        <v>1315</v>
      </c>
      <c r="F347" s="221"/>
      <c r="G347" s="222">
        <v>3158</v>
      </c>
      <c r="H347" s="222">
        <v>0</v>
      </c>
      <c r="I347" s="222">
        <v>0</v>
      </c>
      <c r="J347" s="214"/>
      <c r="K347" s="214"/>
      <c r="L347" s="214"/>
      <c r="M347" s="214"/>
      <c r="N347" s="214"/>
      <c r="O347" s="214"/>
      <c r="P347" s="214"/>
    </row>
    <row r="348" spans="1:16" ht="38.25">
      <c r="A348" s="220" t="s">
        <v>1337</v>
      </c>
      <c r="B348" s="220" t="s">
        <v>30</v>
      </c>
      <c r="C348" s="220" t="s">
        <v>4</v>
      </c>
      <c r="D348" s="220" t="s">
        <v>241</v>
      </c>
      <c r="E348" s="220" t="s">
        <v>1317</v>
      </c>
      <c r="F348" s="221"/>
      <c r="G348" s="222">
        <v>3158</v>
      </c>
      <c r="H348" s="222">
        <v>0</v>
      </c>
      <c r="I348" s="222">
        <v>0</v>
      </c>
      <c r="J348" s="214"/>
      <c r="K348" s="214"/>
      <c r="L348" s="214"/>
      <c r="M348" s="214"/>
      <c r="N348" s="214"/>
      <c r="O348" s="214"/>
      <c r="P348" s="214"/>
    </row>
    <row r="349" spans="1:16" ht="38.25">
      <c r="A349" s="220" t="s">
        <v>833</v>
      </c>
      <c r="B349" s="220" t="s">
        <v>30</v>
      </c>
      <c r="C349" s="220" t="s">
        <v>4</v>
      </c>
      <c r="D349" s="220" t="s">
        <v>241</v>
      </c>
      <c r="E349" s="220" t="s">
        <v>1317</v>
      </c>
      <c r="F349" s="220" t="s">
        <v>313</v>
      </c>
      <c r="G349" s="222">
        <v>3158</v>
      </c>
      <c r="H349" s="222">
        <v>0</v>
      </c>
      <c r="I349" s="222">
        <v>0</v>
      </c>
      <c r="J349" s="214"/>
      <c r="K349" s="214"/>
      <c r="L349" s="214"/>
      <c r="M349" s="214"/>
      <c r="N349" s="214"/>
      <c r="O349" s="214"/>
      <c r="P349" s="214"/>
    </row>
    <row r="350" spans="1:16" ht="25.5">
      <c r="A350" s="220" t="s">
        <v>578</v>
      </c>
      <c r="B350" s="220" t="s">
        <v>30</v>
      </c>
      <c r="C350" s="220" t="s">
        <v>4</v>
      </c>
      <c r="D350" s="220" t="s">
        <v>4</v>
      </c>
      <c r="E350" s="221"/>
      <c r="F350" s="221"/>
      <c r="G350" s="222">
        <v>5000</v>
      </c>
      <c r="H350" s="222">
        <v>0</v>
      </c>
      <c r="I350" s="222">
        <v>0</v>
      </c>
      <c r="J350" s="214"/>
      <c r="K350" s="214"/>
      <c r="L350" s="214"/>
      <c r="M350" s="214"/>
      <c r="N350" s="214"/>
      <c r="O350" s="214"/>
      <c r="P350" s="214"/>
    </row>
    <row r="351" spans="1:16" ht="38.25">
      <c r="A351" s="220" t="s">
        <v>568</v>
      </c>
      <c r="B351" s="220" t="s">
        <v>30</v>
      </c>
      <c r="C351" s="220" t="s">
        <v>4</v>
      </c>
      <c r="D351" s="220" t="s">
        <v>4</v>
      </c>
      <c r="E351" s="220" t="s">
        <v>434</v>
      </c>
      <c r="F351" s="221"/>
      <c r="G351" s="222">
        <v>5000</v>
      </c>
      <c r="H351" s="222">
        <v>0</v>
      </c>
      <c r="I351" s="222">
        <v>0</v>
      </c>
      <c r="J351" s="214"/>
      <c r="K351" s="214"/>
      <c r="L351" s="214"/>
      <c r="M351" s="214"/>
      <c r="N351" s="214"/>
      <c r="O351" s="214"/>
      <c r="P351" s="214"/>
    </row>
    <row r="352" spans="1:16" ht="25.5">
      <c r="A352" s="220" t="s">
        <v>569</v>
      </c>
      <c r="B352" s="220" t="s">
        <v>30</v>
      </c>
      <c r="C352" s="220" t="s">
        <v>4</v>
      </c>
      <c r="D352" s="220" t="s">
        <v>4</v>
      </c>
      <c r="E352" s="220" t="s">
        <v>435</v>
      </c>
      <c r="F352" s="221"/>
      <c r="G352" s="222">
        <v>5000</v>
      </c>
      <c r="H352" s="222">
        <v>0</v>
      </c>
      <c r="I352" s="222">
        <v>0</v>
      </c>
      <c r="J352" s="214"/>
      <c r="K352" s="214"/>
      <c r="L352" s="214"/>
      <c r="M352" s="214"/>
      <c r="N352" s="214"/>
      <c r="O352" s="214"/>
      <c r="P352" s="214"/>
    </row>
    <row r="353" spans="1:16" ht="63.75">
      <c r="A353" s="220" t="s">
        <v>1260</v>
      </c>
      <c r="B353" s="220" t="s">
        <v>30</v>
      </c>
      <c r="C353" s="220" t="s">
        <v>4</v>
      </c>
      <c r="D353" s="220" t="s">
        <v>4</v>
      </c>
      <c r="E353" s="220" t="s">
        <v>1175</v>
      </c>
      <c r="F353" s="221"/>
      <c r="G353" s="222">
        <v>5000</v>
      </c>
      <c r="H353" s="222">
        <v>0</v>
      </c>
      <c r="I353" s="222">
        <v>0</v>
      </c>
      <c r="J353" s="214"/>
      <c r="K353" s="214"/>
      <c r="L353" s="214"/>
      <c r="M353" s="214"/>
      <c r="N353" s="214"/>
      <c r="O353" s="214"/>
      <c r="P353" s="214"/>
    </row>
    <row r="354" spans="1:16" ht="25.5">
      <c r="A354" s="220" t="s">
        <v>890</v>
      </c>
      <c r="B354" s="220" t="s">
        <v>30</v>
      </c>
      <c r="C354" s="220" t="s">
        <v>4</v>
      </c>
      <c r="D354" s="220" t="s">
        <v>4</v>
      </c>
      <c r="E354" s="220" t="s">
        <v>1176</v>
      </c>
      <c r="F354" s="221"/>
      <c r="G354" s="222">
        <v>5000</v>
      </c>
      <c r="H354" s="222">
        <v>0</v>
      </c>
      <c r="I354" s="222">
        <v>0</v>
      </c>
      <c r="J354" s="214"/>
      <c r="K354" s="214"/>
      <c r="L354" s="214"/>
      <c r="M354" s="214"/>
      <c r="N354" s="214"/>
      <c r="O354" s="214"/>
      <c r="P354" s="214"/>
    </row>
    <row r="355" spans="1:16" ht="38.25">
      <c r="A355" s="220" t="s">
        <v>830</v>
      </c>
      <c r="B355" s="220" t="s">
        <v>30</v>
      </c>
      <c r="C355" s="220" t="s">
        <v>4</v>
      </c>
      <c r="D355" s="220" t="s">
        <v>4</v>
      </c>
      <c r="E355" s="220" t="s">
        <v>1176</v>
      </c>
      <c r="F355" s="220" t="s">
        <v>315</v>
      </c>
      <c r="G355" s="222">
        <v>5000</v>
      </c>
      <c r="H355" s="222">
        <v>0</v>
      </c>
      <c r="I355" s="222">
        <v>0</v>
      </c>
      <c r="J355" s="214"/>
      <c r="K355" s="214"/>
      <c r="L355" s="214"/>
      <c r="M355" s="214"/>
      <c r="N355" s="214"/>
      <c r="O355" s="214"/>
      <c r="P355" s="214"/>
    </row>
    <row r="356" spans="1:16">
      <c r="A356" s="220" t="s">
        <v>540</v>
      </c>
      <c r="B356" s="220" t="s">
        <v>30</v>
      </c>
      <c r="C356" s="220" t="s">
        <v>236</v>
      </c>
      <c r="D356" s="221"/>
      <c r="E356" s="221"/>
      <c r="F356" s="221"/>
      <c r="G356" s="222">
        <v>2700</v>
      </c>
      <c r="H356" s="222">
        <v>0</v>
      </c>
      <c r="I356" s="222">
        <v>0</v>
      </c>
      <c r="J356" s="214"/>
      <c r="K356" s="214"/>
      <c r="L356" s="214"/>
      <c r="M356" s="214"/>
      <c r="N356" s="214"/>
      <c r="O356" s="214"/>
      <c r="P356" s="214"/>
    </row>
    <row r="357" spans="1:16">
      <c r="A357" s="220" t="s">
        <v>550</v>
      </c>
      <c r="B357" s="220" t="s">
        <v>30</v>
      </c>
      <c r="C357" s="220" t="s">
        <v>236</v>
      </c>
      <c r="D357" s="220" t="s">
        <v>239</v>
      </c>
      <c r="E357" s="221"/>
      <c r="F357" s="221"/>
      <c r="G357" s="222">
        <v>2700</v>
      </c>
      <c r="H357" s="222">
        <v>0</v>
      </c>
      <c r="I357" s="222">
        <v>0</v>
      </c>
      <c r="J357" s="214"/>
      <c r="K357" s="214"/>
      <c r="L357" s="214"/>
      <c r="M357" s="214"/>
      <c r="N357" s="214"/>
      <c r="O357" s="214"/>
      <c r="P357" s="214"/>
    </row>
    <row r="358" spans="1:16" ht="38.25">
      <c r="A358" s="220" t="s">
        <v>542</v>
      </c>
      <c r="B358" s="220" t="s">
        <v>30</v>
      </c>
      <c r="C358" s="220" t="s">
        <v>236</v>
      </c>
      <c r="D358" s="220" t="s">
        <v>239</v>
      </c>
      <c r="E358" s="220" t="s">
        <v>351</v>
      </c>
      <c r="F358" s="221"/>
      <c r="G358" s="222">
        <v>200</v>
      </c>
      <c r="H358" s="222">
        <v>0</v>
      </c>
      <c r="I358" s="222">
        <v>0</v>
      </c>
      <c r="J358" s="214"/>
      <c r="K358" s="214"/>
      <c r="L358" s="214"/>
      <c r="M358" s="214"/>
      <c r="N358" s="214"/>
      <c r="O358" s="214"/>
      <c r="P358" s="214"/>
    </row>
    <row r="359" spans="1:16" ht="38.25">
      <c r="A359" s="220" t="s">
        <v>1230</v>
      </c>
      <c r="B359" s="220" t="s">
        <v>30</v>
      </c>
      <c r="C359" s="220" t="s">
        <v>236</v>
      </c>
      <c r="D359" s="220" t="s">
        <v>239</v>
      </c>
      <c r="E359" s="220" t="s">
        <v>369</v>
      </c>
      <c r="F359" s="221"/>
      <c r="G359" s="222">
        <v>200</v>
      </c>
      <c r="H359" s="222">
        <v>0</v>
      </c>
      <c r="I359" s="222">
        <v>0</v>
      </c>
      <c r="J359" s="214"/>
      <c r="K359" s="214"/>
      <c r="L359" s="214"/>
      <c r="M359" s="214"/>
      <c r="N359" s="214"/>
      <c r="O359" s="214"/>
      <c r="P359" s="214"/>
    </row>
    <row r="360" spans="1:16" ht="38.25">
      <c r="A360" s="220" t="s">
        <v>1338</v>
      </c>
      <c r="B360" s="220" t="s">
        <v>30</v>
      </c>
      <c r="C360" s="220" t="s">
        <v>236</v>
      </c>
      <c r="D360" s="220" t="s">
        <v>239</v>
      </c>
      <c r="E360" s="220" t="s">
        <v>1296</v>
      </c>
      <c r="F360" s="221"/>
      <c r="G360" s="222">
        <v>200</v>
      </c>
      <c r="H360" s="222">
        <v>0</v>
      </c>
      <c r="I360" s="222">
        <v>0</v>
      </c>
      <c r="J360" s="214"/>
      <c r="K360" s="214"/>
      <c r="L360" s="214"/>
      <c r="M360" s="214"/>
      <c r="N360" s="214"/>
      <c r="O360" s="214"/>
      <c r="P360" s="214"/>
    </row>
    <row r="361" spans="1:16" ht="38.25">
      <c r="A361" s="220" t="s">
        <v>1339</v>
      </c>
      <c r="B361" s="220" t="s">
        <v>30</v>
      </c>
      <c r="C361" s="220" t="s">
        <v>236</v>
      </c>
      <c r="D361" s="220" t="s">
        <v>239</v>
      </c>
      <c r="E361" s="220" t="s">
        <v>1298</v>
      </c>
      <c r="F361" s="221"/>
      <c r="G361" s="222">
        <v>200</v>
      </c>
      <c r="H361" s="222">
        <v>0</v>
      </c>
      <c r="I361" s="222">
        <v>0</v>
      </c>
      <c r="J361" s="214"/>
      <c r="K361" s="214"/>
      <c r="L361" s="214"/>
      <c r="M361" s="214"/>
      <c r="N361" s="214"/>
      <c r="O361" s="214"/>
      <c r="P361" s="214"/>
    </row>
    <row r="362" spans="1:16" ht="38.25">
      <c r="A362" s="220" t="s">
        <v>894</v>
      </c>
      <c r="B362" s="220" t="s">
        <v>30</v>
      </c>
      <c r="C362" s="220" t="s">
        <v>236</v>
      </c>
      <c r="D362" s="220" t="s">
        <v>239</v>
      </c>
      <c r="E362" s="220" t="s">
        <v>1298</v>
      </c>
      <c r="F362" s="220" t="s">
        <v>317</v>
      </c>
      <c r="G362" s="222">
        <v>200</v>
      </c>
      <c r="H362" s="222">
        <v>0</v>
      </c>
      <c r="I362" s="222">
        <v>0</v>
      </c>
      <c r="J362" s="214"/>
      <c r="K362" s="214"/>
      <c r="L362" s="214"/>
      <c r="M362" s="214"/>
      <c r="N362" s="214"/>
      <c r="O362" s="214"/>
      <c r="P362" s="214"/>
    </row>
    <row r="363" spans="1:16" ht="38.25">
      <c r="A363" s="220" t="s">
        <v>589</v>
      </c>
      <c r="B363" s="220" t="s">
        <v>30</v>
      </c>
      <c r="C363" s="220" t="s">
        <v>236</v>
      </c>
      <c r="D363" s="220" t="s">
        <v>239</v>
      </c>
      <c r="E363" s="220" t="s">
        <v>505</v>
      </c>
      <c r="F363" s="221"/>
      <c r="G363" s="222">
        <v>2500</v>
      </c>
      <c r="H363" s="222">
        <v>0</v>
      </c>
      <c r="I363" s="222">
        <v>0</v>
      </c>
      <c r="J363" s="214"/>
      <c r="K363" s="214"/>
      <c r="L363" s="214"/>
      <c r="M363" s="214"/>
      <c r="N363" s="214"/>
      <c r="O363" s="214"/>
      <c r="P363" s="214"/>
    </row>
    <row r="364" spans="1:16">
      <c r="A364" s="220" t="s">
        <v>574</v>
      </c>
      <c r="B364" s="220" t="s">
        <v>30</v>
      </c>
      <c r="C364" s="220" t="s">
        <v>236</v>
      </c>
      <c r="D364" s="220" t="s">
        <v>239</v>
      </c>
      <c r="E364" s="220" t="s">
        <v>506</v>
      </c>
      <c r="F364" s="221"/>
      <c r="G364" s="222">
        <v>2500</v>
      </c>
      <c r="H364" s="222">
        <v>0</v>
      </c>
      <c r="I364" s="222">
        <v>0</v>
      </c>
      <c r="J364" s="214"/>
      <c r="K364" s="214"/>
      <c r="L364" s="214"/>
      <c r="M364" s="214"/>
      <c r="N364" s="214"/>
      <c r="O364" s="214"/>
      <c r="P364" s="214"/>
    </row>
    <row r="365" spans="1:16" ht="38.25">
      <c r="A365" s="220" t="s">
        <v>1340</v>
      </c>
      <c r="B365" s="220" t="s">
        <v>30</v>
      </c>
      <c r="C365" s="220" t="s">
        <v>236</v>
      </c>
      <c r="D365" s="220" t="s">
        <v>239</v>
      </c>
      <c r="E365" s="220" t="s">
        <v>1325</v>
      </c>
      <c r="F365" s="221"/>
      <c r="G365" s="222">
        <v>2500</v>
      </c>
      <c r="H365" s="222">
        <v>0</v>
      </c>
      <c r="I365" s="222">
        <v>0</v>
      </c>
      <c r="J365" s="214"/>
      <c r="K365" s="214"/>
      <c r="L365" s="214"/>
      <c r="M365" s="214"/>
      <c r="N365" s="214"/>
      <c r="O365" s="214"/>
      <c r="P365" s="214"/>
    </row>
    <row r="366" spans="1:16" ht="38.25">
      <c r="A366" s="220" t="s">
        <v>833</v>
      </c>
      <c r="B366" s="220" t="s">
        <v>30</v>
      </c>
      <c r="C366" s="220" t="s">
        <v>236</v>
      </c>
      <c r="D366" s="220" t="s">
        <v>239</v>
      </c>
      <c r="E366" s="220" t="s">
        <v>1325</v>
      </c>
      <c r="F366" s="220" t="s">
        <v>313</v>
      </c>
      <c r="G366" s="222">
        <v>2500</v>
      </c>
      <c r="H366" s="222">
        <v>0</v>
      </c>
      <c r="I366" s="222">
        <v>0</v>
      </c>
      <c r="J366" s="214"/>
      <c r="K366" s="214"/>
      <c r="L366" s="214"/>
      <c r="M366" s="214"/>
      <c r="N366" s="214"/>
      <c r="O366" s="214"/>
      <c r="P366" s="214"/>
    </row>
    <row r="367" spans="1:16" ht="38.25">
      <c r="A367" s="220" t="s">
        <v>165</v>
      </c>
      <c r="B367" s="220" t="s">
        <v>74</v>
      </c>
      <c r="C367" s="221"/>
      <c r="D367" s="221"/>
      <c r="E367" s="221"/>
      <c r="F367" s="221"/>
      <c r="G367" s="222">
        <v>57335.424830000004</v>
      </c>
      <c r="H367" s="222">
        <v>52489.459000000003</v>
      </c>
      <c r="I367" s="222">
        <v>52489.459000000003</v>
      </c>
      <c r="J367" s="214"/>
      <c r="K367" s="214"/>
      <c r="L367" s="214"/>
      <c r="M367" s="214"/>
      <c r="N367" s="214"/>
      <c r="O367" s="214"/>
      <c r="P367" s="214"/>
    </row>
    <row r="368" spans="1:16">
      <c r="A368" s="220" t="s">
        <v>540</v>
      </c>
      <c r="B368" s="220" t="s">
        <v>74</v>
      </c>
      <c r="C368" s="220" t="s">
        <v>236</v>
      </c>
      <c r="D368" s="221"/>
      <c r="E368" s="221"/>
      <c r="F368" s="221"/>
      <c r="G368" s="222">
        <v>42487.11133</v>
      </c>
      <c r="H368" s="222">
        <v>38719.209000000003</v>
      </c>
      <c r="I368" s="222">
        <v>38719.209000000003</v>
      </c>
      <c r="J368" s="214"/>
      <c r="K368" s="214"/>
      <c r="L368" s="214"/>
      <c r="M368" s="214"/>
      <c r="N368" s="214"/>
      <c r="O368" s="214"/>
      <c r="P368" s="214"/>
    </row>
    <row r="369" spans="1:16">
      <c r="A369" s="220" t="s">
        <v>541</v>
      </c>
      <c r="B369" s="220" t="s">
        <v>74</v>
      </c>
      <c r="C369" s="220" t="s">
        <v>236</v>
      </c>
      <c r="D369" s="220" t="s">
        <v>241</v>
      </c>
      <c r="E369" s="221"/>
      <c r="F369" s="221"/>
      <c r="G369" s="222">
        <v>42487.11133</v>
      </c>
      <c r="H369" s="222">
        <v>38719.209000000003</v>
      </c>
      <c r="I369" s="222">
        <v>38719.209000000003</v>
      </c>
      <c r="J369" s="214"/>
      <c r="K369" s="214"/>
      <c r="L369" s="214"/>
      <c r="M369" s="214"/>
      <c r="N369" s="214"/>
      <c r="O369" s="214"/>
      <c r="P369" s="214"/>
    </row>
    <row r="370" spans="1:16" ht="38.25">
      <c r="A370" s="220" t="s">
        <v>542</v>
      </c>
      <c r="B370" s="220" t="s">
        <v>74</v>
      </c>
      <c r="C370" s="220" t="s">
        <v>236</v>
      </c>
      <c r="D370" s="220" t="s">
        <v>241</v>
      </c>
      <c r="E370" s="220" t="s">
        <v>351</v>
      </c>
      <c r="F370" s="221"/>
      <c r="G370" s="222">
        <v>42477.140399999997</v>
      </c>
      <c r="H370" s="222">
        <v>38719.209000000003</v>
      </c>
      <c r="I370" s="222">
        <v>38719.209000000003</v>
      </c>
      <c r="J370" s="214"/>
      <c r="K370" s="214"/>
      <c r="L370" s="214"/>
      <c r="M370" s="214"/>
      <c r="N370" s="214"/>
      <c r="O370" s="214"/>
      <c r="P370" s="214"/>
    </row>
    <row r="371" spans="1:16" ht="38.25">
      <c r="A371" s="220" t="s">
        <v>543</v>
      </c>
      <c r="B371" s="220" t="s">
        <v>74</v>
      </c>
      <c r="C371" s="220" t="s">
        <v>236</v>
      </c>
      <c r="D371" s="220" t="s">
        <v>241</v>
      </c>
      <c r="E371" s="220" t="s">
        <v>361</v>
      </c>
      <c r="F371" s="221"/>
      <c r="G371" s="222">
        <v>42477.140399999997</v>
      </c>
      <c r="H371" s="222">
        <v>38719.209000000003</v>
      </c>
      <c r="I371" s="222">
        <v>38719.209000000003</v>
      </c>
      <c r="J371" s="214"/>
      <c r="K371" s="214"/>
      <c r="L371" s="214"/>
      <c r="M371" s="214"/>
      <c r="N371" s="214"/>
      <c r="O371" s="214"/>
      <c r="P371" s="214"/>
    </row>
    <row r="372" spans="1:16" ht="51">
      <c r="A372" s="220" t="s">
        <v>1228</v>
      </c>
      <c r="B372" s="220" t="s">
        <v>74</v>
      </c>
      <c r="C372" s="220" t="s">
        <v>236</v>
      </c>
      <c r="D372" s="220" t="s">
        <v>241</v>
      </c>
      <c r="E372" s="220" t="s">
        <v>362</v>
      </c>
      <c r="F372" s="221"/>
      <c r="G372" s="222">
        <v>39300.928399999997</v>
      </c>
      <c r="H372" s="222">
        <v>38719.209000000003</v>
      </c>
      <c r="I372" s="222">
        <v>38719.209000000003</v>
      </c>
      <c r="J372" s="214"/>
      <c r="K372" s="214"/>
      <c r="L372" s="214"/>
      <c r="M372" s="214"/>
      <c r="N372" s="214"/>
      <c r="O372" s="214"/>
      <c r="P372" s="214"/>
    </row>
    <row r="373" spans="1:16" ht="25.5">
      <c r="A373" s="220" t="s">
        <v>970</v>
      </c>
      <c r="B373" s="220" t="s">
        <v>74</v>
      </c>
      <c r="C373" s="220" t="s">
        <v>236</v>
      </c>
      <c r="D373" s="220" t="s">
        <v>241</v>
      </c>
      <c r="E373" s="220" t="s">
        <v>962</v>
      </c>
      <c r="F373" s="221"/>
      <c r="G373" s="222">
        <v>5801.777</v>
      </c>
      <c r="H373" s="222">
        <v>5801.777</v>
      </c>
      <c r="I373" s="222">
        <v>5801.777</v>
      </c>
      <c r="J373" s="214"/>
      <c r="K373" s="214"/>
      <c r="L373" s="214"/>
      <c r="M373" s="214"/>
      <c r="N373" s="214"/>
      <c r="O373" s="214"/>
      <c r="P373" s="214"/>
    </row>
    <row r="374" spans="1:16" ht="38.25">
      <c r="A374" s="220" t="s">
        <v>830</v>
      </c>
      <c r="B374" s="220" t="s">
        <v>74</v>
      </c>
      <c r="C374" s="220" t="s">
        <v>236</v>
      </c>
      <c r="D374" s="220" t="s">
        <v>241</v>
      </c>
      <c r="E374" s="220" t="s">
        <v>962</v>
      </c>
      <c r="F374" s="220" t="s">
        <v>315</v>
      </c>
      <c r="G374" s="222">
        <v>5801.777</v>
      </c>
      <c r="H374" s="222">
        <v>5801.777</v>
      </c>
      <c r="I374" s="222">
        <v>5801.777</v>
      </c>
      <c r="J374" s="214"/>
      <c r="K374" s="214"/>
      <c r="L374" s="214"/>
      <c r="M374" s="214"/>
      <c r="N374" s="214"/>
      <c r="O374" s="214"/>
      <c r="P374" s="214"/>
    </row>
    <row r="375" spans="1:16" ht="63.75">
      <c r="A375" s="220" t="s">
        <v>895</v>
      </c>
      <c r="B375" s="220" t="s">
        <v>74</v>
      </c>
      <c r="C375" s="220" t="s">
        <v>236</v>
      </c>
      <c r="D375" s="220" t="s">
        <v>241</v>
      </c>
      <c r="E375" s="220" t="s">
        <v>1071</v>
      </c>
      <c r="F375" s="221"/>
      <c r="G375" s="222">
        <v>33181.151400000002</v>
      </c>
      <c r="H375" s="222">
        <v>32917.432000000001</v>
      </c>
      <c r="I375" s="222">
        <v>32917.432000000001</v>
      </c>
      <c r="J375" s="214"/>
      <c r="K375" s="214"/>
      <c r="L375" s="214"/>
      <c r="M375" s="214"/>
      <c r="N375" s="214"/>
      <c r="O375" s="214"/>
      <c r="P375" s="214"/>
    </row>
    <row r="376" spans="1:16" ht="38.25">
      <c r="A376" s="220" t="s">
        <v>830</v>
      </c>
      <c r="B376" s="220" t="s">
        <v>74</v>
      </c>
      <c r="C376" s="220" t="s">
        <v>236</v>
      </c>
      <c r="D376" s="220" t="s">
        <v>241</v>
      </c>
      <c r="E376" s="220" t="s">
        <v>1071</v>
      </c>
      <c r="F376" s="220" t="s">
        <v>315</v>
      </c>
      <c r="G376" s="222">
        <v>33181.151400000002</v>
      </c>
      <c r="H376" s="222">
        <v>32917.432000000001</v>
      </c>
      <c r="I376" s="222">
        <v>32917.432000000001</v>
      </c>
      <c r="J376" s="214"/>
      <c r="K376" s="214"/>
      <c r="L376" s="214"/>
      <c r="M376" s="214"/>
      <c r="N376" s="214"/>
      <c r="O376" s="214"/>
      <c r="P376" s="214"/>
    </row>
    <row r="377" spans="1:16" ht="38.25">
      <c r="A377" s="220" t="s">
        <v>1356</v>
      </c>
      <c r="B377" s="220" t="s">
        <v>74</v>
      </c>
      <c r="C377" s="220" t="s">
        <v>236</v>
      </c>
      <c r="D377" s="220" t="s">
        <v>241</v>
      </c>
      <c r="E377" s="220" t="s">
        <v>1342</v>
      </c>
      <c r="F377" s="221"/>
      <c r="G377" s="222">
        <v>318</v>
      </c>
      <c r="H377" s="222">
        <v>0</v>
      </c>
      <c r="I377" s="222">
        <v>0</v>
      </c>
      <c r="J377" s="214"/>
      <c r="K377" s="214"/>
      <c r="L377" s="214"/>
      <c r="M377" s="214"/>
      <c r="N377" s="214"/>
      <c r="O377" s="214"/>
      <c r="P377" s="214"/>
    </row>
    <row r="378" spans="1:16" ht="38.25">
      <c r="A378" s="220" t="s">
        <v>830</v>
      </c>
      <c r="B378" s="220" t="s">
        <v>74</v>
      </c>
      <c r="C378" s="220" t="s">
        <v>236</v>
      </c>
      <c r="D378" s="220" t="s">
        <v>241</v>
      </c>
      <c r="E378" s="220" t="s">
        <v>1342</v>
      </c>
      <c r="F378" s="220" t="s">
        <v>315</v>
      </c>
      <c r="G378" s="222">
        <v>318</v>
      </c>
      <c r="H378" s="222">
        <v>0</v>
      </c>
      <c r="I378" s="222">
        <v>0</v>
      </c>
      <c r="J378" s="214"/>
      <c r="K378" s="214"/>
      <c r="L378" s="214"/>
      <c r="M378" s="214"/>
      <c r="N378" s="214"/>
      <c r="O378" s="214"/>
      <c r="P378" s="214"/>
    </row>
    <row r="379" spans="1:16" ht="63.75">
      <c r="A379" s="220" t="s">
        <v>1229</v>
      </c>
      <c r="B379" s="220" t="s">
        <v>74</v>
      </c>
      <c r="C379" s="220" t="s">
        <v>236</v>
      </c>
      <c r="D379" s="220" t="s">
        <v>241</v>
      </c>
      <c r="E379" s="220" t="s">
        <v>364</v>
      </c>
      <c r="F379" s="221"/>
      <c r="G379" s="222">
        <v>3176.212</v>
      </c>
      <c r="H379" s="222">
        <v>0</v>
      </c>
      <c r="I379" s="222">
        <v>0</v>
      </c>
      <c r="J379" s="214"/>
      <c r="K379" s="214"/>
      <c r="L379" s="214"/>
      <c r="M379" s="214"/>
      <c r="N379" s="214"/>
      <c r="O379" s="214"/>
      <c r="P379" s="214"/>
    </row>
    <row r="380" spans="1:16" ht="89.25">
      <c r="A380" s="220" t="s">
        <v>952</v>
      </c>
      <c r="B380" s="220" t="s">
        <v>74</v>
      </c>
      <c r="C380" s="220" t="s">
        <v>236</v>
      </c>
      <c r="D380" s="220" t="s">
        <v>241</v>
      </c>
      <c r="E380" s="220" t="s">
        <v>1077</v>
      </c>
      <c r="F380" s="221"/>
      <c r="G380" s="222">
        <v>3176.212</v>
      </c>
      <c r="H380" s="222">
        <v>0</v>
      </c>
      <c r="I380" s="222">
        <v>0</v>
      </c>
      <c r="J380" s="214"/>
      <c r="K380" s="214"/>
      <c r="L380" s="214"/>
      <c r="M380" s="214"/>
      <c r="N380" s="214"/>
      <c r="O380" s="214"/>
      <c r="P380" s="214"/>
    </row>
    <row r="381" spans="1:16" ht="38.25">
      <c r="A381" s="220" t="s">
        <v>830</v>
      </c>
      <c r="B381" s="220" t="s">
        <v>74</v>
      </c>
      <c r="C381" s="220" t="s">
        <v>236</v>
      </c>
      <c r="D381" s="220" t="s">
        <v>241</v>
      </c>
      <c r="E381" s="220" t="s">
        <v>1077</v>
      </c>
      <c r="F381" s="220" t="s">
        <v>315</v>
      </c>
      <c r="G381" s="222">
        <v>3176.212</v>
      </c>
      <c r="H381" s="222">
        <v>0</v>
      </c>
      <c r="I381" s="222">
        <v>0</v>
      </c>
      <c r="J381" s="214"/>
      <c r="K381" s="214"/>
      <c r="L381" s="214"/>
      <c r="M381" s="214"/>
      <c r="N381" s="214"/>
      <c r="O381" s="214"/>
      <c r="P381" s="214"/>
    </row>
    <row r="382" spans="1:16" ht="38.25">
      <c r="A382" s="220" t="s">
        <v>589</v>
      </c>
      <c r="B382" s="220" t="s">
        <v>74</v>
      </c>
      <c r="C382" s="220" t="s">
        <v>236</v>
      </c>
      <c r="D382" s="220" t="s">
        <v>241</v>
      </c>
      <c r="E382" s="220" t="s">
        <v>505</v>
      </c>
      <c r="F382" s="221"/>
      <c r="G382" s="222">
        <v>9.9709299999999992</v>
      </c>
      <c r="H382" s="222">
        <v>0</v>
      </c>
      <c r="I382" s="222">
        <v>0</v>
      </c>
      <c r="J382" s="214"/>
      <c r="K382" s="214"/>
      <c r="L382" s="214"/>
      <c r="M382" s="214"/>
      <c r="N382" s="214"/>
      <c r="O382" s="214"/>
      <c r="P382" s="214"/>
    </row>
    <row r="383" spans="1:16">
      <c r="A383" s="220" t="s">
        <v>574</v>
      </c>
      <c r="B383" s="220" t="s">
        <v>74</v>
      </c>
      <c r="C383" s="220" t="s">
        <v>236</v>
      </c>
      <c r="D383" s="220" t="s">
        <v>241</v>
      </c>
      <c r="E383" s="220" t="s">
        <v>506</v>
      </c>
      <c r="F383" s="221"/>
      <c r="G383" s="222">
        <v>9.9709299999999992</v>
      </c>
      <c r="H383" s="222">
        <v>0</v>
      </c>
      <c r="I383" s="222">
        <v>0</v>
      </c>
      <c r="J383" s="214"/>
      <c r="K383" s="214"/>
      <c r="L383" s="214"/>
      <c r="M383" s="214"/>
      <c r="N383" s="214"/>
      <c r="O383" s="214"/>
      <c r="P383" s="214"/>
    </row>
    <row r="384" spans="1:16" ht="25.5">
      <c r="A384" s="220" t="s">
        <v>1331</v>
      </c>
      <c r="B384" s="220" t="s">
        <v>74</v>
      </c>
      <c r="C384" s="220" t="s">
        <v>236</v>
      </c>
      <c r="D384" s="220" t="s">
        <v>241</v>
      </c>
      <c r="E384" s="220" t="s">
        <v>1323</v>
      </c>
      <c r="F384" s="221"/>
      <c r="G384" s="222">
        <v>9.9709299999999992</v>
      </c>
      <c r="H384" s="222">
        <v>0</v>
      </c>
      <c r="I384" s="222">
        <v>0</v>
      </c>
      <c r="J384" s="214"/>
      <c r="K384" s="214"/>
      <c r="L384" s="214"/>
      <c r="M384" s="214"/>
      <c r="N384" s="214"/>
      <c r="O384" s="214"/>
      <c r="P384" s="214"/>
    </row>
    <row r="385" spans="1:16" ht="38.25">
      <c r="A385" s="220" t="s">
        <v>830</v>
      </c>
      <c r="B385" s="220" t="s">
        <v>74</v>
      </c>
      <c r="C385" s="220" t="s">
        <v>236</v>
      </c>
      <c r="D385" s="220" t="s">
        <v>241</v>
      </c>
      <c r="E385" s="220" t="s">
        <v>1323</v>
      </c>
      <c r="F385" s="220" t="s">
        <v>315</v>
      </c>
      <c r="G385" s="222">
        <v>9.9709299999999992</v>
      </c>
      <c r="H385" s="222">
        <v>0</v>
      </c>
      <c r="I385" s="222">
        <v>0</v>
      </c>
      <c r="J385" s="214"/>
      <c r="K385" s="214"/>
      <c r="L385" s="214"/>
      <c r="M385" s="214"/>
      <c r="N385" s="214"/>
      <c r="O385" s="214"/>
      <c r="P385" s="214"/>
    </row>
    <row r="386" spans="1:16">
      <c r="A386" s="220" t="s">
        <v>581</v>
      </c>
      <c r="B386" s="220" t="s">
        <v>74</v>
      </c>
      <c r="C386" s="220" t="s">
        <v>5</v>
      </c>
      <c r="D386" s="221"/>
      <c r="E386" s="221"/>
      <c r="F386" s="221"/>
      <c r="G386" s="222">
        <v>14848.3135</v>
      </c>
      <c r="H386" s="222">
        <v>13770.25</v>
      </c>
      <c r="I386" s="222">
        <v>13770.25</v>
      </c>
      <c r="J386" s="214"/>
      <c r="K386" s="214"/>
      <c r="L386" s="214"/>
      <c r="M386" s="214"/>
      <c r="N386" s="214"/>
      <c r="O386" s="214"/>
      <c r="P386" s="214"/>
    </row>
    <row r="387" spans="1:16">
      <c r="A387" s="220" t="s">
        <v>582</v>
      </c>
      <c r="B387" s="220" t="s">
        <v>74</v>
      </c>
      <c r="C387" s="220" t="s">
        <v>5</v>
      </c>
      <c r="D387" s="220" t="s">
        <v>237</v>
      </c>
      <c r="E387" s="221"/>
      <c r="F387" s="221"/>
      <c r="G387" s="222">
        <v>11986.600200000001</v>
      </c>
      <c r="H387" s="222">
        <v>10909.126</v>
      </c>
      <c r="I387" s="222">
        <v>10909.126</v>
      </c>
      <c r="J387" s="214"/>
      <c r="K387" s="214"/>
      <c r="L387" s="214"/>
      <c r="M387" s="214"/>
      <c r="N387" s="214"/>
      <c r="O387" s="214"/>
      <c r="P387" s="214"/>
    </row>
    <row r="388" spans="1:16" ht="51">
      <c r="A388" s="220" t="s">
        <v>583</v>
      </c>
      <c r="B388" s="220" t="s">
        <v>74</v>
      </c>
      <c r="C388" s="220" t="s">
        <v>5</v>
      </c>
      <c r="D388" s="220" t="s">
        <v>237</v>
      </c>
      <c r="E388" s="220" t="s">
        <v>388</v>
      </c>
      <c r="F388" s="221"/>
      <c r="G388" s="222">
        <v>11986.600200000001</v>
      </c>
      <c r="H388" s="222">
        <v>10909.126</v>
      </c>
      <c r="I388" s="222">
        <v>10909.126</v>
      </c>
      <c r="J388" s="214"/>
      <c r="K388" s="214"/>
      <c r="L388" s="214"/>
      <c r="M388" s="214"/>
      <c r="N388" s="214"/>
      <c r="O388" s="214"/>
      <c r="P388" s="214"/>
    </row>
    <row r="389" spans="1:16" ht="25.5">
      <c r="A389" s="220" t="s">
        <v>972</v>
      </c>
      <c r="B389" s="220" t="s">
        <v>74</v>
      </c>
      <c r="C389" s="220" t="s">
        <v>5</v>
      </c>
      <c r="D389" s="220" t="s">
        <v>237</v>
      </c>
      <c r="E389" s="220" t="s">
        <v>389</v>
      </c>
      <c r="F389" s="221"/>
      <c r="G389" s="222">
        <v>1487.1</v>
      </c>
      <c r="H389" s="222">
        <v>447.1</v>
      </c>
      <c r="I389" s="222">
        <v>447.1</v>
      </c>
      <c r="J389" s="214"/>
      <c r="K389" s="214"/>
      <c r="L389" s="214"/>
      <c r="M389" s="214"/>
      <c r="N389" s="214"/>
      <c r="O389" s="214"/>
      <c r="P389" s="214"/>
    </row>
    <row r="390" spans="1:16" ht="51">
      <c r="A390" s="220" t="s">
        <v>1261</v>
      </c>
      <c r="B390" s="220" t="s">
        <v>74</v>
      </c>
      <c r="C390" s="220" t="s">
        <v>5</v>
      </c>
      <c r="D390" s="220" t="s">
        <v>237</v>
      </c>
      <c r="E390" s="220" t="s">
        <v>390</v>
      </c>
      <c r="F390" s="221"/>
      <c r="G390" s="222">
        <v>267.10000000000002</v>
      </c>
      <c r="H390" s="222">
        <v>267.10000000000002</v>
      </c>
      <c r="I390" s="222">
        <v>267.10000000000002</v>
      </c>
      <c r="J390" s="214"/>
      <c r="K390" s="214"/>
      <c r="L390" s="214"/>
      <c r="M390" s="214"/>
      <c r="N390" s="214"/>
      <c r="O390" s="214"/>
      <c r="P390" s="214"/>
    </row>
    <row r="391" spans="1:16" ht="76.5">
      <c r="A391" s="220" t="s">
        <v>896</v>
      </c>
      <c r="B391" s="220" t="s">
        <v>74</v>
      </c>
      <c r="C391" s="220" t="s">
        <v>5</v>
      </c>
      <c r="D391" s="220" t="s">
        <v>237</v>
      </c>
      <c r="E391" s="220" t="s">
        <v>529</v>
      </c>
      <c r="F391" s="221"/>
      <c r="G391" s="222">
        <v>267.10000000000002</v>
      </c>
      <c r="H391" s="222">
        <v>267.10000000000002</v>
      </c>
      <c r="I391" s="222">
        <v>267.10000000000002</v>
      </c>
      <c r="J391" s="214"/>
      <c r="K391" s="214"/>
      <c r="L391" s="214"/>
      <c r="M391" s="214"/>
      <c r="N391" s="214"/>
      <c r="O391" s="214"/>
      <c r="P391" s="214"/>
    </row>
    <row r="392" spans="1:16" ht="38.25">
      <c r="A392" s="220" t="s">
        <v>830</v>
      </c>
      <c r="B392" s="220" t="s">
        <v>74</v>
      </c>
      <c r="C392" s="220" t="s">
        <v>5</v>
      </c>
      <c r="D392" s="220" t="s">
        <v>237</v>
      </c>
      <c r="E392" s="220" t="s">
        <v>529</v>
      </c>
      <c r="F392" s="220" t="s">
        <v>315</v>
      </c>
      <c r="G392" s="222">
        <v>267.10000000000002</v>
      </c>
      <c r="H392" s="222">
        <v>267.10000000000002</v>
      </c>
      <c r="I392" s="222">
        <v>267.10000000000002</v>
      </c>
      <c r="J392" s="214"/>
      <c r="K392" s="214"/>
      <c r="L392" s="214"/>
      <c r="M392" s="214"/>
      <c r="N392" s="214"/>
      <c r="O392" s="214"/>
      <c r="P392" s="214"/>
    </row>
    <row r="393" spans="1:16" ht="51">
      <c r="A393" s="220" t="s">
        <v>1357</v>
      </c>
      <c r="B393" s="220" t="s">
        <v>74</v>
      </c>
      <c r="C393" s="220" t="s">
        <v>5</v>
      </c>
      <c r="D393" s="220" t="s">
        <v>237</v>
      </c>
      <c r="E393" s="220" t="s">
        <v>1346</v>
      </c>
      <c r="F393" s="221"/>
      <c r="G393" s="222">
        <v>890</v>
      </c>
      <c r="H393" s="222">
        <v>0</v>
      </c>
      <c r="I393" s="222">
        <v>0</v>
      </c>
      <c r="J393" s="214"/>
      <c r="K393" s="214"/>
      <c r="L393" s="214"/>
      <c r="M393" s="214"/>
      <c r="N393" s="214"/>
      <c r="O393" s="214"/>
      <c r="P393" s="214"/>
    </row>
    <row r="394" spans="1:16" ht="76.5">
      <c r="A394" s="220" t="s">
        <v>1358</v>
      </c>
      <c r="B394" s="220" t="s">
        <v>74</v>
      </c>
      <c r="C394" s="220" t="s">
        <v>5</v>
      </c>
      <c r="D394" s="220" t="s">
        <v>237</v>
      </c>
      <c r="E394" s="220" t="s">
        <v>1348</v>
      </c>
      <c r="F394" s="221"/>
      <c r="G394" s="222">
        <v>890</v>
      </c>
      <c r="H394" s="222">
        <v>0</v>
      </c>
      <c r="I394" s="222">
        <v>0</v>
      </c>
      <c r="J394" s="214"/>
      <c r="K394" s="214"/>
      <c r="L394" s="214"/>
      <c r="M394" s="214"/>
      <c r="N394" s="214"/>
      <c r="O394" s="214"/>
      <c r="P394" s="214"/>
    </row>
    <row r="395" spans="1:16" ht="38.25">
      <c r="A395" s="220" t="s">
        <v>833</v>
      </c>
      <c r="B395" s="220" t="s">
        <v>74</v>
      </c>
      <c r="C395" s="220" t="s">
        <v>5</v>
      </c>
      <c r="D395" s="220" t="s">
        <v>237</v>
      </c>
      <c r="E395" s="220" t="s">
        <v>1348</v>
      </c>
      <c r="F395" s="220" t="s">
        <v>313</v>
      </c>
      <c r="G395" s="222">
        <v>890</v>
      </c>
      <c r="H395" s="222">
        <v>0</v>
      </c>
      <c r="I395" s="222">
        <v>0</v>
      </c>
      <c r="J395" s="214"/>
      <c r="K395" s="214"/>
      <c r="L395" s="214"/>
      <c r="M395" s="214"/>
      <c r="N395" s="214"/>
      <c r="O395" s="214"/>
      <c r="P395" s="214"/>
    </row>
    <row r="396" spans="1:16" ht="63.75">
      <c r="A396" s="220" t="s">
        <v>1262</v>
      </c>
      <c r="B396" s="220" t="s">
        <v>74</v>
      </c>
      <c r="C396" s="220" t="s">
        <v>5</v>
      </c>
      <c r="D396" s="220" t="s">
        <v>237</v>
      </c>
      <c r="E396" s="220" t="s">
        <v>1104</v>
      </c>
      <c r="F396" s="221"/>
      <c r="G396" s="222">
        <v>330</v>
      </c>
      <c r="H396" s="222">
        <v>180</v>
      </c>
      <c r="I396" s="222">
        <v>180</v>
      </c>
      <c r="J396" s="214"/>
      <c r="K396" s="214"/>
      <c r="L396" s="214"/>
      <c r="M396" s="214"/>
      <c r="N396" s="214"/>
      <c r="O396" s="214"/>
      <c r="P396" s="214"/>
    </row>
    <row r="397" spans="1:16" ht="51">
      <c r="A397" s="220" t="s">
        <v>897</v>
      </c>
      <c r="B397" s="220" t="s">
        <v>74</v>
      </c>
      <c r="C397" s="220" t="s">
        <v>5</v>
      </c>
      <c r="D397" s="220" t="s">
        <v>237</v>
      </c>
      <c r="E397" s="220" t="s">
        <v>1105</v>
      </c>
      <c r="F397" s="221"/>
      <c r="G397" s="222">
        <v>300</v>
      </c>
      <c r="H397" s="222">
        <v>150</v>
      </c>
      <c r="I397" s="222">
        <v>150</v>
      </c>
      <c r="J397" s="214"/>
      <c r="K397" s="214"/>
      <c r="L397" s="214"/>
      <c r="M397" s="214"/>
      <c r="N397" s="214"/>
      <c r="O397" s="214"/>
      <c r="P397" s="214"/>
    </row>
    <row r="398" spans="1:16" ht="38.25">
      <c r="A398" s="220" t="s">
        <v>833</v>
      </c>
      <c r="B398" s="220" t="s">
        <v>74</v>
      </c>
      <c r="C398" s="220" t="s">
        <v>5</v>
      </c>
      <c r="D398" s="220" t="s">
        <v>237</v>
      </c>
      <c r="E398" s="220" t="s">
        <v>1105</v>
      </c>
      <c r="F398" s="220" t="s">
        <v>313</v>
      </c>
      <c r="G398" s="222">
        <v>150</v>
      </c>
      <c r="H398" s="222">
        <v>75</v>
      </c>
      <c r="I398" s="222">
        <v>75</v>
      </c>
      <c r="J398" s="214"/>
      <c r="K398" s="214"/>
      <c r="L398" s="214"/>
      <c r="M398" s="214"/>
      <c r="N398" s="214"/>
      <c r="O398" s="214"/>
      <c r="P398" s="214"/>
    </row>
    <row r="399" spans="1:16" ht="38.25">
      <c r="A399" s="220" t="s">
        <v>830</v>
      </c>
      <c r="B399" s="220" t="s">
        <v>74</v>
      </c>
      <c r="C399" s="220" t="s">
        <v>5</v>
      </c>
      <c r="D399" s="220" t="s">
        <v>237</v>
      </c>
      <c r="E399" s="220" t="s">
        <v>1105</v>
      </c>
      <c r="F399" s="220" t="s">
        <v>315</v>
      </c>
      <c r="G399" s="222">
        <v>150</v>
      </c>
      <c r="H399" s="222">
        <v>75</v>
      </c>
      <c r="I399" s="222">
        <v>75</v>
      </c>
      <c r="J399" s="214"/>
      <c r="K399" s="214"/>
      <c r="L399" s="214"/>
      <c r="M399" s="214"/>
      <c r="N399" s="214"/>
      <c r="O399" s="214"/>
      <c r="P399" s="214"/>
    </row>
    <row r="400" spans="1:16" ht="51">
      <c r="A400" s="220" t="s">
        <v>898</v>
      </c>
      <c r="B400" s="220" t="s">
        <v>74</v>
      </c>
      <c r="C400" s="220" t="s">
        <v>5</v>
      </c>
      <c r="D400" s="220" t="s">
        <v>237</v>
      </c>
      <c r="E400" s="220" t="s">
        <v>1106</v>
      </c>
      <c r="F400" s="221"/>
      <c r="G400" s="222">
        <v>30</v>
      </c>
      <c r="H400" s="222">
        <v>30</v>
      </c>
      <c r="I400" s="222">
        <v>30</v>
      </c>
      <c r="J400" s="214"/>
      <c r="K400" s="214"/>
      <c r="L400" s="214"/>
      <c r="M400" s="214"/>
      <c r="N400" s="214"/>
      <c r="O400" s="214"/>
      <c r="P400" s="214"/>
    </row>
    <row r="401" spans="1:16" ht="38.25">
      <c r="A401" s="220" t="s">
        <v>833</v>
      </c>
      <c r="B401" s="220" t="s">
        <v>74</v>
      </c>
      <c r="C401" s="220" t="s">
        <v>5</v>
      </c>
      <c r="D401" s="220" t="s">
        <v>237</v>
      </c>
      <c r="E401" s="220" t="s">
        <v>1106</v>
      </c>
      <c r="F401" s="220" t="s">
        <v>313</v>
      </c>
      <c r="G401" s="222">
        <v>30</v>
      </c>
      <c r="H401" s="222">
        <v>30</v>
      </c>
      <c r="I401" s="222">
        <v>30</v>
      </c>
      <c r="J401" s="214"/>
      <c r="K401" s="214"/>
      <c r="L401" s="214"/>
      <c r="M401" s="214"/>
      <c r="N401" s="214"/>
      <c r="O401" s="214"/>
      <c r="P401" s="214"/>
    </row>
    <row r="402" spans="1:16" ht="25.5">
      <c r="A402" s="220" t="s">
        <v>1263</v>
      </c>
      <c r="B402" s="220" t="s">
        <v>74</v>
      </c>
      <c r="C402" s="220" t="s">
        <v>5</v>
      </c>
      <c r="D402" s="220" t="s">
        <v>237</v>
      </c>
      <c r="E402" s="220" t="s">
        <v>391</v>
      </c>
      <c r="F402" s="221"/>
      <c r="G402" s="222">
        <v>10499.5002</v>
      </c>
      <c r="H402" s="222">
        <v>10462.026</v>
      </c>
      <c r="I402" s="222">
        <v>10462.026</v>
      </c>
      <c r="J402" s="214"/>
      <c r="K402" s="214"/>
      <c r="L402" s="214"/>
      <c r="M402" s="214"/>
      <c r="N402" s="214"/>
      <c r="O402" s="214"/>
      <c r="P402" s="214"/>
    </row>
    <row r="403" spans="1:16" ht="63.75">
      <c r="A403" s="220" t="s">
        <v>1264</v>
      </c>
      <c r="B403" s="220" t="s">
        <v>74</v>
      </c>
      <c r="C403" s="220" t="s">
        <v>5</v>
      </c>
      <c r="D403" s="220" t="s">
        <v>237</v>
      </c>
      <c r="E403" s="220" t="s">
        <v>392</v>
      </c>
      <c r="F403" s="221"/>
      <c r="G403" s="222">
        <v>10499.5002</v>
      </c>
      <c r="H403" s="222">
        <v>10462.026</v>
      </c>
      <c r="I403" s="222">
        <v>10462.026</v>
      </c>
      <c r="J403" s="214"/>
      <c r="K403" s="214"/>
      <c r="L403" s="214"/>
      <c r="M403" s="214"/>
      <c r="N403" s="214"/>
      <c r="O403" s="214"/>
      <c r="P403" s="214"/>
    </row>
    <row r="404" spans="1:16" ht="25.5">
      <c r="A404" s="220" t="s">
        <v>970</v>
      </c>
      <c r="B404" s="220" t="s">
        <v>74</v>
      </c>
      <c r="C404" s="220" t="s">
        <v>5</v>
      </c>
      <c r="D404" s="220" t="s">
        <v>237</v>
      </c>
      <c r="E404" s="220" t="s">
        <v>1109</v>
      </c>
      <c r="F404" s="221"/>
      <c r="G404" s="222">
        <v>1030</v>
      </c>
      <c r="H404" s="222">
        <v>1030</v>
      </c>
      <c r="I404" s="222">
        <v>1030</v>
      </c>
      <c r="J404" s="214"/>
      <c r="K404" s="214"/>
      <c r="L404" s="214"/>
      <c r="M404" s="214"/>
      <c r="N404" s="214"/>
      <c r="O404" s="214"/>
      <c r="P404" s="214"/>
    </row>
    <row r="405" spans="1:16" ht="38.25">
      <c r="A405" s="220" t="s">
        <v>830</v>
      </c>
      <c r="B405" s="220" t="s">
        <v>74</v>
      </c>
      <c r="C405" s="220" t="s">
        <v>5</v>
      </c>
      <c r="D405" s="220" t="s">
        <v>237</v>
      </c>
      <c r="E405" s="220" t="s">
        <v>1109</v>
      </c>
      <c r="F405" s="220" t="s">
        <v>315</v>
      </c>
      <c r="G405" s="222">
        <v>1030</v>
      </c>
      <c r="H405" s="222">
        <v>1030</v>
      </c>
      <c r="I405" s="222">
        <v>1030</v>
      </c>
      <c r="J405" s="214"/>
      <c r="K405" s="214"/>
      <c r="L405" s="214"/>
      <c r="M405" s="214"/>
      <c r="N405" s="214"/>
      <c r="O405" s="214"/>
      <c r="P405" s="214"/>
    </row>
    <row r="406" spans="1:16" ht="38.25">
      <c r="A406" s="220" t="s">
        <v>1356</v>
      </c>
      <c r="B406" s="220" t="s">
        <v>74</v>
      </c>
      <c r="C406" s="220" t="s">
        <v>5</v>
      </c>
      <c r="D406" s="220" t="s">
        <v>237</v>
      </c>
      <c r="E406" s="220" t="s">
        <v>1349</v>
      </c>
      <c r="F406" s="221"/>
      <c r="G406" s="222">
        <v>106</v>
      </c>
      <c r="H406" s="222">
        <v>0</v>
      </c>
      <c r="I406" s="222">
        <v>0</v>
      </c>
      <c r="J406" s="214"/>
      <c r="K406" s="214"/>
      <c r="L406" s="214"/>
      <c r="M406" s="214"/>
      <c r="N406" s="214"/>
      <c r="O406" s="214"/>
      <c r="P406" s="214"/>
    </row>
    <row r="407" spans="1:16" ht="38.25">
      <c r="A407" s="220" t="s">
        <v>830</v>
      </c>
      <c r="B407" s="220" t="s">
        <v>74</v>
      </c>
      <c r="C407" s="220" t="s">
        <v>5</v>
      </c>
      <c r="D407" s="220" t="s">
        <v>237</v>
      </c>
      <c r="E407" s="220" t="s">
        <v>1349</v>
      </c>
      <c r="F407" s="220" t="s">
        <v>315</v>
      </c>
      <c r="G407" s="222">
        <v>106</v>
      </c>
      <c r="H407" s="222">
        <v>0</v>
      </c>
      <c r="I407" s="222">
        <v>0</v>
      </c>
      <c r="J407" s="214"/>
      <c r="K407" s="214"/>
      <c r="L407" s="214"/>
      <c r="M407" s="214"/>
      <c r="N407" s="214"/>
      <c r="O407" s="214"/>
      <c r="P407" s="214"/>
    </row>
    <row r="408" spans="1:16" ht="38.25">
      <c r="A408" s="220" t="s">
        <v>1265</v>
      </c>
      <c r="B408" s="220" t="s">
        <v>74</v>
      </c>
      <c r="C408" s="220" t="s">
        <v>5</v>
      </c>
      <c r="D408" s="220" t="s">
        <v>237</v>
      </c>
      <c r="E408" s="220" t="s">
        <v>975</v>
      </c>
      <c r="F408" s="221"/>
      <c r="G408" s="222">
        <v>9363.5002000000004</v>
      </c>
      <c r="H408" s="222">
        <v>9432.0259999999998</v>
      </c>
      <c r="I408" s="222">
        <v>9432.0259999999998</v>
      </c>
      <c r="J408" s="214"/>
      <c r="K408" s="214"/>
      <c r="L408" s="214"/>
      <c r="M408" s="214"/>
      <c r="N408" s="214"/>
      <c r="O408" s="214"/>
      <c r="P408" s="214"/>
    </row>
    <row r="409" spans="1:16" ht="38.25">
      <c r="A409" s="220" t="s">
        <v>830</v>
      </c>
      <c r="B409" s="220" t="s">
        <v>74</v>
      </c>
      <c r="C409" s="220" t="s">
        <v>5</v>
      </c>
      <c r="D409" s="220" t="s">
        <v>237</v>
      </c>
      <c r="E409" s="220" t="s">
        <v>975</v>
      </c>
      <c r="F409" s="220" t="s">
        <v>315</v>
      </c>
      <c r="G409" s="222">
        <v>9363.5002000000004</v>
      </c>
      <c r="H409" s="222">
        <v>9432.0259999999998</v>
      </c>
      <c r="I409" s="222">
        <v>9432.0259999999998</v>
      </c>
      <c r="J409" s="214"/>
      <c r="K409" s="214"/>
      <c r="L409" s="214"/>
      <c r="M409" s="214"/>
      <c r="N409" s="214"/>
      <c r="O409" s="214"/>
      <c r="P409" s="214"/>
    </row>
    <row r="410" spans="1:16" ht="25.5">
      <c r="A410" s="220" t="s">
        <v>584</v>
      </c>
      <c r="B410" s="220" t="s">
        <v>74</v>
      </c>
      <c r="C410" s="220" t="s">
        <v>5</v>
      </c>
      <c r="D410" s="220" t="s">
        <v>4</v>
      </c>
      <c r="E410" s="221"/>
      <c r="F410" s="221"/>
      <c r="G410" s="222">
        <v>2861.7132999999999</v>
      </c>
      <c r="H410" s="222">
        <v>2861.1239999999998</v>
      </c>
      <c r="I410" s="222">
        <v>2861.1239999999998</v>
      </c>
      <c r="J410" s="214"/>
      <c r="K410" s="214"/>
      <c r="L410" s="214"/>
      <c r="M410" s="214"/>
      <c r="N410" s="214"/>
      <c r="O410" s="214"/>
      <c r="P410" s="214"/>
    </row>
    <row r="411" spans="1:16" ht="51">
      <c r="A411" s="220" t="s">
        <v>583</v>
      </c>
      <c r="B411" s="220" t="s">
        <v>74</v>
      </c>
      <c r="C411" s="220" t="s">
        <v>5</v>
      </c>
      <c r="D411" s="220" t="s">
        <v>4</v>
      </c>
      <c r="E411" s="220" t="s">
        <v>388</v>
      </c>
      <c r="F411" s="221"/>
      <c r="G411" s="222">
        <v>2861.1239999999998</v>
      </c>
      <c r="H411" s="222">
        <v>2861.1239999999998</v>
      </c>
      <c r="I411" s="222">
        <v>2861.1239999999998</v>
      </c>
      <c r="J411" s="214"/>
      <c r="K411" s="214"/>
      <c r="L411" s="214"/>
      <c r="M411" s="214"/>
      <c r="N411" s="214"/>
      <c r="O411" s="214"/>
      <c r="P411" s="214"/>
    </row>
    <row r="412" spans="1:16" ht="51">
      <c r="A412" s="220" t="s">
        <v>1233</v>
      </c>
      <c r="B412" s="220" t="s">
        <v>74</v>
      </c>
      <c r="C412" s="220" t="s">
        <v>5</v>
      </c>
      <c r="D412" s="220" t="s">
        <v>4</v>
      </c>
      <c r="E412" s="220" t="s">
        <v>1111</v>
      </c>
      <c r="F412" s="221"/>
      <c r="G412" s="222">
        <v>2861.1239999999998</v>
      </c>
      <c r="H412" s="222">
        <v>2861.1239999999998</v>
      </c>
      <c r="I412" s="222">
        <v>2861.1239999999998</v>
      </c>
      <c r="J412" s="214"/>
      <c r="K412" s="214"/>
      <c r="L412" s="214"/>
      <c r="M412" s="214"/>
      <c r="N412" s="214"/>
      <c r="O412" s="214"/>
      <c r="P412" s="214"/>
    </row>
    <row r="413" spans="1:16" ht="51">
      <c r="A413" s="220" t="s">
        <v>1234</v>
      </c>
      <c r="B413" s="220" t="s">
        <v>74</v>
      </c>
      <c r="C413" s="220" t="s">
        <v>5</v>
      </c>
      <c r="D413" s="220" t="s">
        <v>4</v>
      </c>
      <c r="E413" s="220" t="s">
        <v>1112</v>
      </c>
      <c r="F413" s="221"/>
      <c r="G413" s="222">
        <v>2861.1239999999998</v>
      </c>
      <c r="H413" s="222">
        <v>2861.1239999999998</v>
      </c>
      <c r="I413" s="222">
        <v>2861.1239999999998</v>
      </c>
      <c r="J413" s="214"/>
      <c r="K413" s="214"/>
      <c r="L413" s="214"/>
      <c r="M413" s="214"/>
      <c r="N413" s="214"/>
      <c r="O413" s="214"/>
      <c r="P413" s="214"/>
    </row>
    <row r="414" spans="1:16" ht="51">
      <c r="A414" s="220" t="s">
        <v>1235</v>
      </c>
      <c r="B414" s="220" t="s">
        <v>74</v>
      </c>
      <c r="C414" s="220" t="s">
        <v>5</v>
      </c>
      <c r="D414" s="220" t="s">
        <v>4</v>
      </c>
      <c r="E414" s="220" t="s">
        <v>1113</v>
      </c>
      <c r="F414" s="221"/>
      <c r="G414" s="222">
        <v>2844.1239999999998</v>
      </c>
      <c r="H414" s="222">
        <v>2844.1239999999998</v>
      </c>
      <c r="I414" s="222">
        <v>2844.1239999999998</v>
      </c>
      <c r="J414" s="214"/>
      <c r="K414" s="214"/>
      <c r="L414" s="214"/>
      <c r="M414" s="214"/>
      <c r="N414" s="214"/>
      <c r="O414" s="214"/>
      <c r="P414" s="214"/>
    </row>
    <row r="415" spans="1:16" ht="76.5">
      <c r="A415" s="220" t="s">
        <v>848</v>
      </c>
      <c r="B415" s="220" t="s">
        <v>74</v>
      </c>
      <c r="C415" s="220" t="s">
        <v>5</v>
      </c>
      <c r="D415" s="220" t="s">
        <v>4</v>
      </c>
      <c r="E415" s="220" t="s">
        <v>1113</v>
      </c>
      <c r="F415" s="220" t="s">
        <v>312</v>
      </c>
      <c r="G415" s="222">
        <v>2368.3470000000002</v>
      </c>
      <c r="H415" s="222">
        <v>2368.3470000000002</v>
      </c>
      <c r="I415" s="222">
        <v>2368.3470000000002</v>
      </c>
      <c r="J415" s="214"/>
      <c r="K415" s="214"/>
      <c r="L415" s="214"/>
      <c r="M415" s="214"/>
      <c r="N415" s="214"/>
      <c r="O415" s="214"/>
      <c r="P415" s="214"/>
    </row>
    <row r="416" spans="1:16" ht="38.25">
      <c r="A416" s="220" t="s">
        <v>833</v>
      </c>
      <c r="B416" s="220" t="s">
        <v>74</v>
      </c>
      <c r="C416" s="220" t="s">
        <v>5</v>
      </c>
      <c r="D416" s="220" t="s">
        <v>4</v>
      </c>
      <c r="E416" s="220" t="s">
        <v>1113</v>
      </c>
      <c r="F416" s="220" t="s">
        <v>313</v>
      </c>
      <c r="G416" s="222">
        <v>473.27699999999999</v>
      </c>
      <c r="H416" s="222">
        <v>473.27699999999999</v>
      </c>
      <c r="I416" s="222">
        <v>473.27699999999999</v>
      </c>
      <c r="J416" s="214"/>
      <c r="K416" s="214"/>
      <c r="L416" s="214"/>
      <c r="M416" s="214"/>
      <c r="N416" s="214"/>
      <c r="O416" s="214"/>
      <c r="P416" s="214"/>
    </row>
    <row r="417" spans="1:16">
      <c r="A417" s="220" t="s">
        <v>849</v>
      </c>
      <c r="B417" s="220" t="s">
        <v>74</v>
      </c>
      <c r="C417" s="220" t="s">
        <v>5</v>
      </c>
      <c r="D417" s="220" t="s">
        <v>4</v>
      </c>
      <c r="E417" s="220" t="s">
        <v>1113</v>
      </c>
      <c r="F417" s="220" t="s">
        <v>314</v>
      </c>
      <c r="G417" s="222">
        <v>2.5</v>
      </c>
      <c r="H417" s="222">
        <v>2.5</v>
      </c>
      <c r="I417" s="222">
        <v>2.5</v>
      </c>
      <c r="J417" s="214"/>
      <c r="K417" s="214"/>
      <c r="L417" s="214"/>
      <c r="M417" s="214"/>
      <c r="N417" s="214"/>
      <c r="O417" s="214"/>
      <c r="P417" s="214"/>
    </row>
    <row r="418" spans="1:16" ht="76.5">
      <c r="A418" s="220" t="s">
        <v>1236</v>
      </c>
      <c r="B418" s="220" t="s">
        <v>74</v>
      </c>
      <c r="C418" s="220" t="s">
        <v>5</v>
      </c>
      <c r="D418" s="220" t="s">
        <v>4</v>
      </c>
      <c r="E418" s="220" t="s">
        <v>1114</v>
      </c>
      <c r="F418" s="221"/>
      <c r="G418" s="222">
        <v>17</v>
      </c>
      <c r="H418" s="222">
        <v>17</v>
      </c>
      <c r="I418" s="222">
        <v>17</v>
      </c>
      <c r="J418" s="214"/>
      <c r="K418" s="214"/>
      <c r="L418" s="214"/>
      <c r="M418" s="214"/>
      <c r="N418" s="214"/>
      <c r="O418" s="214"/>
      <c r="P418" s="214"/>
    </row>
    <row r="419" spans="1:16" ht="38.25">
      <c r="A419" s="220" t="s">
        <v>833</v>
      </c>
      <c r="B419" s="220" t="s">
        <v>74</v>
      </c>
      <c r="C419" s="220" t="s">
        <v>5</v>
      </c>
      <c r="D419" s="220" t="s">
        <v>4</v>
      </c>
      <c r="E419" s="220" t="s">
        <v>1114</v>
      </c>
      <c r="F419" s="220" t="s">
        <v>313</v>
      </c>
      <c r="G419" s="222">
        <v>17</v>
      </c>
      <c r="H419" s="222">
        <v>17</v>
      </c>
      <c r="I419" s="222">
        <v>17</v>
      </c>
      <c r="J419" s="214"/>
      <c r="K419" s="214"/>
      <c r="L419" s="214"/>
      <c r="M419" s="214"/>
      <c r="N419" s="214"/>
      <c r="O419" s="214"/>
      <c r="P419" s="214"/>
    </row>
    <row r="420" spans="1:16" ht="38.25">
      <c r="A420" s="220" t="s">
        <v>589</v>
      </c>
      <c r="B420" s="220" t="s">
        <v>74</v>
      </c>
      <c r="C420" s="220" t="s">
        <v>5</v>
      </c>
      <c r="D420" s="220" t="s">
        <v>4</v>
      </c>
      <c r="E420" s="220" t="s">
        <v>505</v>
      </c>
      <c r="F420" s="221"/>
      <c r="G420" s="222">
        <v>0.58930000000000005</v>
      </c>
      <c r="H420" s="222">
        <v>0</v>
      </c>
      <c r="I420" s="222">
        <v>0</v>
      </c>
      <c r="J420" s="214"/>
      <c r="K420" s="214"/>
      <c r="L420" s="214"/>
      <c r="M420" s="214"/>
      <c r="N420" s="214"/>
      <c r="O420" s="214"/>
      <c r="P420" s="214"/>
    </row>
    <row r="421" spans="1:16">
      <c r="A421" s="220" t="s">
        <v>574</v>
      </c>
      <c r="B421" s="220" t="s">
        <v>74</v>
      </c>
      <c r="C421" s="220" t="s">
        <v>5</v>
      </c>
      <c r="D421" s="220" t="s">
        <v>4</v>
      </c>
      <c r="E421" s="220" t="s">
        <v>506</v>
      </c>
      <c r="F421" s="221"/>
      <c r="G421" s="222">
        <v>0.58930000000000005</v>
      </c>
      <c r="H421" s="222">
        <v>0</v>
      </c>
      <c r="I421" s="222">
        <v>0</v>
      </c>
      <c r="J421" s="214"/>
      <c r="K421" s="214"/>
      <c r="L421" s="214"/>
      <c r="M421" s="214"/>
      <c r="N421" s="214"/>
      <c r="O421" s="214"/>
      <c r="P421" s="214"/>
    </row>
    <row r="422" spans="1:16" ht="89.25">
      <c r="A422" s="220" t="s">
        <v>1383</v>
      </c>
      <c r="B422" s="220" t="s">
        <v>74</v>
      </c>
      <c r="C422" s="220" t="s">
        <v>5</v>
      </c>
      <c r="D422" s="220" t="s">
        <v>4</v>
      </c>
      <c r="E422" s="220" t="s">
        <v>1381</v>
      </c>
      <c r="F422" s="221"/>
      <c r="G422" s="222">
        <v>0.58930000000000005</v>
      </c>
      <c r="H422" s="222">
        <v>0</v>
      </c>
      <c r="I422" s="222">
        <v>0</v>
      </c>
      <c r="J422" s="214"/>
      <c r="K422" s="214"/>
      <c r="L422" s="214"/>
      <c r="M422" s="214"/>
      <c r="N422" s="214"/>
      <c r="O422" s="214"/>
      <c r="P422" s="214"/>
    </row>
    <row r="423" spans="1:16" ht="38.25">
      <c r="A423" s="220" t="s">
        <v>833</v>
      </c>
      <c r="B423" s="220" t="s">
        <v>74</v>
      </c>
      <c r="C423" s="220" t="s">
        <v>5</v>
      </c>
      <c r="D423" s="220" t="s">
        <v>4</v>
      </c>
      <c r="E423" s="220" t="s">
        <v>1381</v>
      </c>
      <c r="F423" s="220" t="s">
        <v>313</v>
      </c>
      <c r="G423" s="222">
        <v>0.58930000000000005</v>
      </c>
      <c r="H423" s="222">
        <v>0</v>
      </c>
      <c r="I423" s="222">
        <v>0</v>
      </c>
      <c r="J423" s="214"/>
      <c r="K423" s="214"/>
      <c r="L423" s="214"/>
      <c r="M423" s="214"/>
      <c r="N423" s="214"/>
      <c r="O423" s="214"/>
      <c r="P423" s="214"/>
    </row>
    <row r="424" spans="1:16" ht="25.5">
      <c r="A424" s="220" t="s">
        <v>29</v>
      </c>
      <c r="B424" s="220" t="s">
        <v>76</v>
      </c>
      <c r="C424" s="221"/>
      <c r="D424" s="221"/>
      <c r="E424" s="221"/>
      <c r="F424" s="221"/>
      <c r="G424" s="222">
        <v>98133.613039999997</v>
      </c>
      <c r="H424" s="222">
        <v>92924.002999999997</v>
      </c>
      <c r="I424" s="222">
        <v>81851.421000000002</v>
      </c>
      <c r="J424" s="214"/>
      <c r="K424" s="214"/>
      <c r="L424" s="214"/>
      <c r="M424" s="214"/>
      <c r="N424" s="214"/>
      <c r="O424" s="214"/>
      <c r="P424" s="214"/>
    </row>
    <row r="425" spans="1:16">
      <c r="A425" s="220" t="s">
        <v>533</v>
      </c>
      <c r="B425" s="220" t="s">
        <v>76</v>
      </c>
      <c r="C425" s="220" t="s">
        <v>239</v>
      </c>
      <c r="D425" s="221"/>
      <c r="E425" s="221"/>
      <c r="F425" s="221"/>
      <c r="G425" s="222">
        <v>44117.288800000002</v>
      </c>
      <c r="H425" s="222">
        <v>41947.959000000003</v>
      </c>
      <c r="I425" s="222">
        <v>41948.834000000003</v>
      </c>
      <c r="J425" s="214"/>
      <c r="K425" s="214"/>
      <c r="L425" s="214"/>
      <c r="M425" s="214"/>
      <c r="N425" s="214"/>
      <c r="O425" s="214"/>
      <c r="P425" s="214"/>
    </row>
    <row r="426" spans="1:16" ht="38.25">
      <c r="A426" s="220" t="s">
        <v>585</v>
      </c>
      <c r="B426" s="220" t="s">
        <v>76</v>
      </c>
      <c r="C426" s="220" t="s">
        <v>239</v>
      </c>
      <c r="D426" s="220" t="s">
        <v>237</v>
      </c>
      <c r="E426" s="221"/>
      <c r="F426" s="221"/>
      <c r="G426" s="222">
        <v>1379.943</v>
      </c>
      <c r="H426" s="222">
        <v>1379.943</v>
      </c>
      <c r="I426" s="222">
        <v>1379.943</v>
      </c>
      <c r="J426" s="214"/>
      <c r="K426" s="214"/>
      <c r="L426" s="214"/>
      <c r="M426" s="214"/>
      <c r="N426" s="214"/>
      <c r="O426" s="214"/>
      <c r="P426" s="214"/>
    </row>
    <row r="427" spans="1:16" ht="51">
      <c r="A427" s="220" t="s">
        <v>549</v>
      </c>
      <c r="B427" s="220" t="s">
        <v>76</v>
      </c>
      <c r="C427" s="220" t="s">
        <v>239</v>
      </c>
      <c r="D427" s="220" t="s">
        <v>237</v>
      </c>
      <c r="E427" s="220" t="s">
        <v>444</v>
      </c>
      <c r="F427" s="221"/>
      <c r="G427" s="222">
        <v>1379.943</v>
      </c>
      <c r="H427" s="222">
        <v>1379.943</v>
      </c>
      <c r="I427" s="222">
        <v>1379.943</v>
      </c>
      <c r="J427" s="214"/>
      <c r="K427" s="214"/>
      <c r="L427" s="214"/>
      <c r="M427" s="214"/>
      <c r="N427" s="214"/>
      <c r="O427" s="214"/>
      <c r="P427" s="214"/>
    </row>
    <row r="428" spans="1:16" ht="51">
      <c r="A428" s="220" t="s">
        <v>1247</v>
      </c>
      <c r="B428" s="220" t="s">
        <v>76</v>
      </c>
      <c r="C428" s="220" t="s">
        <v>239</v>
      </c>
      <c r="D428" s="220" t="s">
        <v>237</v>
      </c>
      <c r="E428" s="220" t="s">
        <v>445</v>
      </c>
      <c r="F428" s="221"/>
      <c r="G428" s="222">
        <v>1379.943</v>
      </c>
      <c r="H428" s="222">
        <v>1379.943</v>
      </c>
      <c r="I428" s="222">
        <v>1379.943</v>
      </c>
      <c r="J428" s="214"/>
      <c r="K428" s="214"/>
      <c r="L428" s="214"/>
      <c r="M428" s="214"/>
      <c r="N428" s="214"/>
      <c r="O428" s="214"/>
      <c r="P428" s="214"/>
    </row>
    <row r="429" spans="1:16" ht="51">
      <c r="A429" s="220" t="s">
        <v>1234</v>
      </c>
      <c r="B429" s="220" t="s">
        <v>76</v>
      </c>
      <c r="C429" s="220" t="s">
        <v>239</v>
      </c>
      <c r="D429" s="220" t="s">
        <v>237</v>
      </c>
      <c r="E429" s="220" t="s">
        <v>446</v>
      </c>
      <c r="F429" s="221"/>
      <c r="G429" s="222">
        <v>1379.943</v>
      </c>
      <c r="H429" s="222">
        <v>1379.943</v>
      </c>
      <c r="I429" s="222">
        <v>1379.943</v>
      </c>
      <c r="J429" s="214"/>
      <c r="K429" s="214"/>
      <c r="L429" s="214"/>
      <c r="M429" s="214"/>
      <c r="N429" s="214"/>
      <c r="O429" s="214"/>
      <c r="P429" s="214"/>
    </row>
    <row r="430" spans="1:16" ht="25.5">
      <c r="A430" s="220" t="s">
        <v>899</v>
      </c>
      <c r="B430" s="220" t="s">
        <v>76</v>
      </c>
      <c r="C430" s="220" t="s">
        <v>239</v>
      </c>
      <c r="D430" s="220" t="s">
        <v>237</v>
      </c>
      <c r="E430" s="220" t="s">
        <v>447</v>
      </c>
      <c r="F430" s="221"/>
      <c r="G430" s="222">
        <v>1379.943</v>
      </c>
      <c r="H430" s="222">
        <v>1379.943</v>
      </c>
      <c r="I430" s="222">
        <v>1379.943</v>
      </c>
      <c r="J430" s="214"/>
      <c r="K430" s="214"/>
      <c r="L430" s="214"/>
      <c r="M430" s="214"/>
      <c r="N430" s="214"/>
      <c r="O430" s="214"/>
      <c r="P430" s="214"/>
    </row>
    <row r="431" spans="1:16" ht="76.5">
      <c r="A431" s="220" t="s">
        <v>848</v>
      </c>
      <c r="B431" s="220" t="s">
        <v>76</v>
      </c>
      <c r="C431" s="220" t="s">
        <v>239</v>
      </c>
      <c r="D431" s="220" t="s">
        <v>237</v>
      </c>
      <c r="E431" s="220" t="s">
        <v>447</v>
      </c>
      <c r="F431" s="220" t="s">
        <v>312</v>
      </c>
      <c r="G431" s="222">
        <v>1379.943</v>
      </c>
      <c r="H431" s="222">
        <v>1379.943</v>
      </c>
      <c r="I431" s="222">
        <v>1379.943</v>
      </c>
      <c r="J431" s="214"/>
      <c r="K431" s="214"/>
      <c r="L431" s="214"/>
      <c r="M431" s="214"/>
      <c r="N431" s="214"/>
      <c r="O431" s="214"/>
      <c r="P431" s="214"/>
    </row>
    <row r="432" spans="1:16" ht="63.75">
      <c r="A432" s="220" t="s">
        <v>586</v>
      </c>
      <c r="B432" s="220" t="s">
        <v>76</v>
      </c>
      <c r="C432" s="220" t="s">
        <v>239</v>
      </c>
      <c r="D432" s="220" t="s">
        <v>234</v>
      </c>
      <c r="E432" s="221"/>
      <c r="F432" s="221"/>
      <c r="G432" s="222">
        <v>41270.709799999997</v>
      </c>
      <c r="H432" s="222">
        <v>39919.949999999997</v>
      </c>
      <c r="I432" s="222">
        <v>39919.949999999997</v>
      </c>
      <c r="J432" s="214"/>
      <c r="K432" s="214"/>
      <c r="L432" s="214"/>
      <c r="M432" s="214"/>
      <c r="N432" s="214"/>
      <c r="O432" s="214"/>
      <c r="P432" s="214"/>
    </row>
    <row r="433" spans="1:16" ht="51">
      <c r="A433" s="220" t="s">
        <v>549</v>
      </c>
      <c r="B433" s="220" t="s">
        <v>76</v>
      </c>
      <c r="C433" s="220" t="s">
        <v>239</v>
      </c>
      <c r="D433" s="220" t="s">
        <v>234</v>
      </c>
      <c r="E433" s="220" t="s">
        <v>444</v>
      </c>
      <c r="F433" s="221"/>
      <c r="G433" s="222">
        <v>41270.709799999997</v>
      </c>
      <c r="H433" s="222">
        <v>39919.949999999997</v>
      </c>
      <c r="I433" s="222">
        <v>39919.949999999997</v>
      </c>
      <c r="J433" s="214"/>
      <c r="K433" s="214"/>
      <c r="L433" s="214"/>
      <c r="M433" s="214"/>
      <c r="N433" s="214"/>
      <c r="O433" s="214"/>
      <c r="P433" s="214"/>
    </row>
    <row r="434" spans="1:16" ht="51">
      <c r="A434" s="220" t="s">
        <v>1247</v>
      </c>
      <c r="B434" s="220" t="s">
        <v>76</v>
      </c>
      <c r="C434" s="220" t="s">
        <v>239</v>
      </c>
      <c r="D434" s="220" t="s">
        <v>234</v>
      </c>
      <c r="E434" s="220" t="s">
        <v>445</v>
      </c>
      <c r="F434" s="221"/>
      <c r="G434" s="222">
        <v>41270.709799999997</v>
      </c>
      <c r="H434" s="222">
        <v>39919.949999999997</v>
      </c>
      <c r="I434" s="222">
        <v>39919.949999999997</v>
      </c>
      <c r="J434" s="214"/>
      <c r="K434" s="214"/>
      <c r="L434" s="214"/>
      <c r="M434" s="214"/>
      <c r="N434" s="214"/>
      <c r="O434" s="214"/>
      <c r="P434" s="214"/>
    </row>
    <row r="435" spans="1:16" ht="51">
      <c r="A435" s="220" t="s">
        <v>1234</v>
      </c>
      <c r="B435" s="220" t="s">
        <v>76</v>
      </c>
      <c r="C435" s="220" t="s">
        <v>239</v>
      </c>
      <c r="D435" s="220" t="s">
        <v>234</v>
      </c>
      <c r="E435" s="220" t="s">
        <v>446</v>
      </c>
      <c r="F435" s="221"/>
      <c r="G435" s="222">
        <v>39587.502800000002</v>
      </c>
      <c r="H435" s="222">
        <v>38279.021000000001</v>
      </c>
      <c r="I435" s="222">
        <v>38279.021000000001</v>
      </c>
      <c r="J435" s="214"/>
      <c r="K435" s="214"/>
      <c r="L435" s="214"/>
      <c r="M435" s="214"/>
      <c r="N435" s="214"/>
      <c r="O435" s="214"/>
      <c r="P435" s="214"/>
    </row>
    <row r="436" spans="1:16" ht="51">
      <c r="A436" s="220" t="s">
        <v>1235</v>
      </c>
      <c r="B436" s="220" t="s">
        <v>76</v>
      </c>
      <c r="C436" s="220" t="s">
        <v>239</v>
      </c>
      <c r="D436" s="220" t="s">
        <v>234</v>
      </c>
      <c r="E436" s="220" t="s">
        <v>448</v>
      </c>
      <c r="F436" s="221"/>
      <c r="G436" s="222">
        <v>39587.502800000002</v>
      </c>
      <c r="H436" s="222">
        <v>38279.021000000001</v>
      </c>
      <c r="I436" s="222">
        <v>38279.021000000001</v>
      </c>
      <c r="J436" s="214"/>
      <c r="K436" s="214"/>
      <c r="L436" s="214"/>
      <c r="M436" s="214"/>
      <c r="N436" s="214"/>
      <c r="O436" s="214"/>
      <c r="P436" s="214"/>
    </row>
    <row r="437" spans="1:16" ht="76.5">
      <c r="A437" s="220" t="s">
        <v>848</v>
      </c>
      <c r="B437" s="220" t="s">
        <v>76</v>
      </c>
      <c r="C437" s="220" t="s">
        <v>239</v>
      </c>
      <c r="D437" s="220" t="s">
        <v>234</v>
      </c>
      <c r="E437" s="220" t="s">
        <v>448</v>
      </c>
      <c r="F437" s="220" t="s">
        <v>312</v>
      </c>
      <c r="G437" s="222">
        <v>30826.705999999998</v>
      </c>
      <c r="H437" s="222">
        <v>30800.2</v>
      </c>
      <c r="I437" s="222">
        <v>30800.2</v>
      </c>
      <c r="J437" s="214"/>
      <c r="K437" s="214"/>
      <c r="L437" s="214"/>
      <c r="M437" s="214"/>
      <c r="N437" s="214"/>
      <c r="O437" s="214"/>
      <c r="P437" s="214"/>
    </row>
    <row r="438" spans="1:16" ht="38.25">
      <c r="A438" s="220" t="s">
        <v>833</v>
      </c>
      <c r="B438" s="220" t="s">
        <v>76</v>
      </c>
      <c r="C438" s="220" t="s">
        <v>239</v>
      </c>
      <c r="D438" s="220" t="s">
        <v>234</v>
      </c>
      <c r="E438" s="220" t="s">
        <v>448</v>
      </c>
      <c r="F438" s="220" t="s">
        <v>313</v>
      </c>
      <c r="G438" s="222">
        <v>8474.7448000000004</v>
      </c>
      <c r="H438" s="222">
        <v>7251.1210000000001</v>
      </c>
      <c r="I438" s="222">
        <v>7251.1210000000001</v>
      </c>
      <c r="J438" s="214"/>
      <c r="K438" s="214"/>
      <c r="L438" s="214"/>
      <c r="M438" s="214"/>
      <c r="N438" s="214"/>
      <c r="O438" s="214"/>
      <c r="P438" s="214"/>
    </row>
    <row r="439" spans="1:16" ht="25.5">
      <c r="A439" s="220" t="s">
        <v>845</v>
      </c>
      <c r="B439" s="220" t="s">
        <v>76</v>
      </c>
      <c r="C439" s="220" t="s">
        <v>239</v>
      </c>
      <c r="D439" s="220" t="s">
        <v>234</v>
      </c>
      <c r="E439" s="220" t="s">
        <v>448</v>
      </c>
      <c r="F439" s="220" t="s">
        <v>318</v>
      </c>
      <c r="G439" s="222">
        <v>58.351999999999997</v>
      </c>
      <c r="H439" s="222">
        <v>0</v>
      </c>
      <c r="I439" s="222">
        <v>0</v>
      </c>
      <c r="J439" s="214"/>
      <c r="K439" s="214"/>
      <c r="L439" s="214"/>
      <c r="M439" s="214"/>
      <c r="N439" s="214"/>
      <c r="O439" s="214"/>
      <c r="P439" s="214"/>
    </row>
    <row r="440" spans="1:16">
      <c r="A440" s="220" t="s">
        <v>849</v>
      </c>
      <c r="B440" s="220" t="s">
        <v>76</v>
      </c>
      <c r="C440" s="220" t="s">
        <v>239</v>
      </c>
      <c r="D440" s="220" t="s">
        <v>234</v>
      </c>
      <c r="E440" s="220" t="s">
        <v>448</v>
      </c>
      <c r="F440" s="220" t="s">
        <v>314</v>
      </c>
      <c r="G440" s="222">
        <v>227.7</v>
      </c>
      <c r="H440" s="222">
        <v>227.7</v>
      </c>
      <c r="I440" s="222">
        <v>227.7</v>
      </c>
      <c r="J440" s="214"/>
      <c r="K440" s="214"/>
      <c r="L440" s="214"/>
      <c r="M440" s="214"/>
      <c r="N440" s="214"/>
      <c r="O440" s="214"/>
      <c r="P440" s="214"/>
    </row>
    <row r="441" spans="1:16" ht="51">
      <c r="A441" s="220" t="s">
        <v>900</v>
      </c>
      <c r="B441" s="220" t="s">
        <v>76</v>
      </c>
      <c r="C441" s="220" t="s">
        <v>239</v>
      </c>
      <c r="D441" s="220" t="s">
        <v>234</v>
      </c>
      <c r="E441" s="220" t="s">
        <v>449</v>
      </c>
      <c r="F441" s="221"/>
      <c r="G441" s="222">
        <v>1462.7070000000001</v>
      </c>
      <c r="H441" s="222">
        <v>1420.4290000000001</v>
      </c>
      <c r="I441" s="222">
        <v>1420.4290000000001</v>
      </c>
      <c r="J441" s="214"/>
      <c r="K441" s="214"/>
      <c r="L441" s="214"/>
      <c r="M441" s="214"/>
      <c r="N441" s="214"/>
      <c r="O441" s="214"/>
      <c r="P441" s="214"/>
    </row>
    <row r="442" spans="1:16" ht="51">
      <c r="A442" s="220" t="s">
        <v>902</v>
      </c>
      <c r="B442" s="220" t="s">
        <v>76</v>
      </c>
      <c r="C442" s="220" t="s">
        <v>239</v>
      </c>
      <c r="D442" s="220" t="s">
        <v>234</v>
      </c>
      <c r="E442" s="220" t="s">
        <v>451</v>
      </c>
      <c r="F442" s="221"/>
      <c r="G442" s="222">
        <v>1462.7070000000001</v>
      </c>
      <c r="H442" s="222">
        <v>1420.4290000000001</v>
      </c>
      <c r="I442" s="222">
        <v>1420.4290000000001</v>
      </c>
      <c r="J442" s="214"/>
      <c r="K442" s="214"/>
      <c r="L442" s="214"/>
      <c r="M442" s="214"/>
      <c r="N442" s="214"/>
      <c r="O442" s="214"/>
      <c r="P442" s="214"/>
    </row>
    <row r="443" spans="1:16" ht="76.5">
      <c r="A443" s="220" t="s">
        <v>848</v>
      </c>
      <c r="B443" s="220" t="s">
        <v>76</v>
      </c>
      <c r="C443" s="220" t="s">
        <v>239</v>
      </c>
      <c r="D443" s="220" t="s">
        <v>234</v>
      </c>
      <c r="E443" s="220" t="s">
        <v>451</v>
      </c>
      <c r="F443" s="220" t="s">
        <v>312</v>
      </c>
      <c r="G443" s="222">
        <v>978.7</v>
      </c>
      <c r="H443" s="222">
        <v>978.7</v>
      </c>
      <c r="I443" s="222">
        <v>978.7</v>
      </c>
      <c r="J443" s="214"/>
      <c r="K443" s="214"/>
      <c r="L443" s="214"/>
      <c r="M443" s="214"/>
      <c r="N443" s="214"/>
      <c r="O443" s="214"/>
      <c r="P443" s="214"/>
    </row>
    <row r="444" spans="1:16" ht="38.25">
      <c r="A444" s="220" t="s">
        <v>833</v>
      </c>
      <c r="B444" s="220" t="s">
        <v>76</v>
      </c>
      <c r="C444" s="220" t="s">
        <v>239</v>
      </c>
      <c r="D444" s="220" t="s">
        <v>234</v>
      </c>
      <c r="E444" s="220" t="s">
        <v>451</v>
      </c>
      <c r="F444" s="220" t="s">
        <v>313</v>
      </c>
      <c r="G444" s="222">
        <v>484.00700000000001</v>
      </c>
      <c r="H444" s="222">
        <v>441.72899999999998</v>
      </c>
      <c r="I444" s="222">
        <v>441.72899999999998</v>
      </c>
      <c r="J444" s="214"/>
      <c r="K444" s="214"/>
      <c r="L444" s="214"/>
      <c r="M444" s="214"/>
      <c r="N444" s="214"/>
      <c r="O444" s="214"/>
      <c r="P444" s="214"/>
    </row>
    <row r="445" spans="1:16" ht="38.25">
      <c r="A445" s="220" t="s">
        <v>1266</v>
      </c>
      <c r="B445" s="220" t="s">
        <v>76</v>
      </c>
      <c r="C445" s="220" t="s">
        <v>239</v>
      </c>
      <c r="D445" s="220" t="s">
        <v>234</v>
      </c>
      <c r="E445" s="220" t="s">
        <v>1217</v>
      </c>
      <c r="F445" s="221"/>
      <c r="G445" s="222">
        <v>220.5</v>
      </c>
      <c r="H445" s="222">
        <v>220.5</v>
      </c>
      <c r="I445" s="222">
        <v>220.5</v>
      </c>
      <c r="J445" s="214"/>
      <c r="K445" s="214"/>
      <c r="L445" s="214"/>
      <c r="M445" s="214"/>
      <c r="N445" s="214"/>
      <c r="O445" s="214"/>
      <c r="P445" s="214"/>
    </row>
    <row r="446" spans="1:16" ht="76.5">
      <c r="A446" s="220" t="s">
        <v>1236</v>
      </c>
      <c r="B446" s="220" t="s">
        <v>76</v>
      </c>
      <c r="C446" s="220" t="s">
        <v>239</v>
      </c>
      <c r="D446" s="220" t="s">
        <v>234</v>
      </c>
      <c r="E446" s="220" t="s">
        <v>1218</v>
      </c>
      <c r="F446" s="221"/>
      <c r="G446" s="222">
        <v>220.5</v>
      </c>
      <c r="H446" s="222">
        <v>220.5</v>
      </c>
      <c r="I446" s="222">
        <v>220.5</v>
      </c>
      <c r="J446" s="214"/>
      <c r="K446" s="214"/>
      <c r="L446" s="214"/>
      <c r="M446" s="214"/>
      <c r="N446" s="214"/>
      <c r="O446" s="214"/>
      <c r="P446" s="214"/>
    </row>
    <row r="447" spans="1:16" ht="38.25">
      <c r="A447" s="220" t="s">
        <v>833</v>
      </c>
      <c r="B447" s="220" t="s">
        <v>76</v>
      </c>
      <c r="C447" s="220" t="s">
        <v>239</v>
      </c>
      <c r="D447" s="220" t="s">
        <v>234</v>
      </c>
      <c r="E447" s="220" t="s">
        <v>1218</v>
      </c>
      <c r="F447" s="220" t="s">
        <v>313</v>
      </c>
      <c r="G447" s="222">
        <v>220.5</v>
      </c>
      <c r="H447" s="222">
        <v>220.5</v>
      </c>
      <c r="I447" s="222">
        <v>220.5</v>
      </c>
      <c r="J447" s="214"/>
      <c r="K447" s="214"/>
      <c r="L447" s="214"/>
      <c r="M447" s="214"/>
      <c r="N447" s="214"/>
      <c r="O447" s="214"/>
      <c r="P447" s="214"/>
    </row>
    <row r="448" spans="1:16">
      <c r="A448" s="220" t="s">
        <v>953</v>
      </c>
      <c r="B448" s="220" t="s">
        <v>76</v>
      </c>
      <c r="C448" s="220" t="s">
        <v>239</v>
      </c>
      <c r="D448" s="220" t="s">
        <v>4</v>
      </c>
      <c r="E448" s="221"/>
      <c r="F448" s="221"/>
      <c r="G448" s="222">
        <v>16.13</v>
      </c>
      <c r="H448" s="222">
        <v>16.86</v>
      </c>
      <c r="I448" s="222">
        <v>17.734999999999999</v>
      </c>
      <c r="J448" s="214"/>
      <c r="K448" s="214"/>
      <c r="L448" s="214"/>
      <c r="M448" s="214"/>
      <c r="N448" s="214"/>
      <c r="O448" s="214"/>
      <c r="P448" s="214"/>
    </row>
    <row r="449" spans="1:16" ht="63.75">
      <c r="A449" s="220" t="s">
        <v>954</v>
      </c>
      <c r="B449" s="220" t="s">
        <v>76</v>
      </c>
      <c r="C449" s="220" t="s">
        <v>239</v>
      </c>
      <c r="D449" s="220" t="s">
        <v>4</v>
      </c>
      <c r="E449" s="220" t="s">
        <v>945</v>
      </c>
      <c r="F449" s="221"/>
      <c r="G449" s="222">
        <v>16.13</v>
      </c>
      <c r="H449" s="222">
        <v>16.86</v>
      </c>
      <c r="I449" s="222">
        <v>17.734999999999999</v>
      </c>
      <c r="J449" s="214"/>
      <c r="K449" s="214"/>
      <c r="L449" s="214"/>
      <c r="M449" s="214"/>
      <c r="N449" s="214"/>
      <c r="O449" s="214"/>
      <c r="P449" s="214"/>
    </row>
    <row r="450" spans="1:16">
      <c r="A450" s="220" t="s">
        <v>574</v>
      </c>
      <c r="B450" s="220" t="s">
        <v>76</v>
      </c>
      <c r="C450" s="220" t="s">
        <v>239</v>
      </c>
      <c r="D450" s="220" t="s">
        <v>4</v>
      </c>
      <c r="E450" s="220" t="s">
        <v>946</v>
      </c>
      <c r="F450" s="221"/>
      <c r="G450" s="222">
        <v>16.13</v>
      </c>
      <c r="H450" s="222">
        <v>16.86</v>
      </c>
      <c r="I450" s="222">
        <v>17.734999999999999</v>
      </c>
      <c r="J450" s="214"/>
      <c r="K450" s="214"/>
      <c r="L450" s="214"/>
      <c r="M450" s="214"/>
      <c r="N450" s="214"/>
      <c r="O450" s="214"/>
      <c r="P450" s="214"/>
    </row>
    <row r="451" spans="1:16" ht="102">
      <c r="A451" s="220" t="s">
        <v>991</v>
      </c>
      <c r="B451" s="220" t="s">
        <v>76</v>
      </c>
      <c r="C451" s="220" t="s">
        <v>239</v>
      </c>
      <c r="D451" s="220" t="s">
        <v>4</v>
      </c>
      <c r="E451" s="220" t="s">
        <v>948</v>
      </c>
      <c r="F451" s="221"/>
      <c r="G451" s="222">
        <v>16.13</v>
      </c>
      <c r="H451" s="222">
        <v>16.86</v>
      </c>
      <c r="I451" s="222">
        <v>17.734999999999999</v>
      </c>
      <c r="J451" s="214"/>
      <c r="K451" s="214"/>
      <c r="L451" s="214"/>
      <c r="M451" s="214"/>
      <c r="N451" s="214"/>
      <c r="O451" s="214"/>
      <c r="P451" s="214"/>
    </row>
    <row r="452" spans="1:16" ht="38.25">
      <c r="A452" s="220" t="s">
        <v>833</v>
      </c>
      <c r="B452" s="220" t="s">
        <v>76</v>
      </c>
      <c r="C452" s="220" t="s">
        <v>239</v>
      </c>
      <c r="D452" s="220" t="s">
        <v>4</v>
      </c>
      <c r="E452" s="220" t="s">
        <v>948</v>
      </c>
      <c r="F452" s="220" t="s">
        <v>313</v>
      </c>
      <c r="G452" s="222">
        <v>16.13</v>
      </c>
      <c r="H452" s="222">
        <v>16.86</v>
      </c>
      <c r="I452" s="222">
        <v>17.734999999999999</v>
      </c>
      <c r="J452" s="214"/>
      <c r="K452" s="214"/>
      <c r="L452" s="214"/>
      <c r="M452" s="214"/>
      <c r="N452" s="214"/>
      <c r="O452" s="214"/>
      <c r="P452" s="214"/>
    </row>
    <row r="453" spans="1:16">
      <c r="A453" s="220" t="s">
        <v>534</v>
      </c>
      <c r="B453" s="220" t="s">
        <v>76</v>
      </c>
      <c r="C453" s="220" t="s">
        <v>239</v>
      </c>
      <c r="D453" s="220" t="s">
        <v>6</v>
      </c>
      <c r="E453" s="221"/>
      <c r="F453" s="221"/>
      <c r="G453" s="222">
        <v>1450.5060000000001</v>
      </c>
      <c r="H453" s="222">
        <v>631.20600000000002</v>
      </c>
      <c r="I453" s="222">
        <v>631.20600000000002</v>
      </c>
      <c r="J453" s="214"/>
      <c r="K453" s="214"/>
      <c r="L453" s="214"/>
      <c r="M453" s="214"/>
      <c r="N453" s="214"/>
      <c r="O453" s="214"/>
      <c r="P453" s="214"/>
    </row>
    <row r="454" spans="1:16" ht="63.75">
      <c r="A454" s="220" t="s">
        <v>565</v>
      </c>
      <c r="B454" s="220" t="s">
        <v>76</v>
      </c>
      <c r="C454" s="220" t="s">
        <v>239</v>
      </c>
      <c r="D454" s="220" t="s">
        <v>6</v>
      </c>
      <c r="E454" s="220" t="s">
        <v>401</v>
      </c>
      <c r="F454" s="221"/>
      <c r="G454" s="222">
        <v>10</v>
      </c>
      <c r="H454" s="222">
        <v>10</v>
      </c>
      <c r="I454" s="222">
        <v>10</v>
      </c>
      <c r="J454" s="214"/>
      <c r="K454" s="214"/>
      <c r="L454" s="214"/>
      <c r="M454" s="214"/>
      <c r="N454" s="214"/>
      <c r="O454" s="214"/>
      <c r="P454" s="214"/>
    </row>
    <row r="455" spans="1:16">
      <c r="A455" s="220" t="s">
        <v>566</v>
      </c>
      <c r="B455" s="220" t="s">
        <v>76</v>
      </c>
      <c r="C455" s="220" t="s">
        <v>239</v>
      </c>
      <c r="D455" s="220" t="s">
        <v>6</v>
      </c>
      <c r="E455" s="220" t="s">
        <v>402</v>
      </c>
      <c r="F455" s="221"/>
      <c r="G455" s="222">
        <v>10</v>
      </c>
      <c r="H455" s="222">
        <v>10</v>
      </c>
      <c r="I455" s="222">
        <v>10</v>
      </c>
      <c r="J455" s="214"/>
      <c r="K455" s="214"/>
      <c r="L455" s="214"/>
      <c r="M455" s="214"/>
      <c r="N455" s="214"/>
      <c r="O455" s="214"/>
      <c r="P455" s="214"/>
    </row>
    <row r="456" spans="1:16" ht="140.25">
      <c r="A456" s="220" t="s">
        <v>867</v>
      </c>
      <c r="B456" s="220" t="s">
        <v>76</v>
      </c>
      <c r="C456" s="220" t="s">
        <v>239</v>
      </c>
      <c r="D456" s="220" t="s">
        <v>6</v>
      </c>
      <c r="E456" s="220" t="s">
        <v>403</v>
      </c>
      <c r="F456" s="221"/>
      <c r="G456" s="222">
        <v>10</v>
      </c>
      <c r="H456" s="222">
        <v>10</v>
      </c>
      <c r="I456" s="222">
        <v>10</v>
      </c>
      <c r="J456" s="214"/>
      <c r="K456" s="214"/>
      <c r="L456" s="214"/>
      <c r="M456" s="214"/>
      <c r="N456" s="214"/>
      <c r="O456" s="214"/>
      <c r="P456" s="214"/>
    </row>
    <row r="457" spans="1:16" ht="51">
      <c r="A457" s="220" t="s">
        <v>868</v>
      </c>
      <c r="B457" s="220" t="s">
        <v>76</v>
      </c>
      <c r="C457" s="220" t="s">
        <v>239</v>
      </c>
      <c r="D457" s="220" t="s">
        <v>6</v>
      </c>
      <c r="E457" s="220" t="s">
        <v>404</v>
      </c>
      <c r="F457" s="221"/>
      <c r="G457" s="222">
        <v>10</v>
      </c>
      <c r="H457" s="222">
        <v>10</v>
      </c>
      <c r="I457" s="222">
        <v>10</v>
      </c>
      <c r="J457" s="214"/>
      <c r="K457" s="214"/>
      <c r="L457" s="214"/>
      <c r="M457" s="214"/>
      <c r="N457" s="214"/>
      <c r="O457" s="214"/>
      <c r="P457" s="214"/>
    </row>
    <row r="458" spans="1:16" ht="38.25">
      <c r="A458" s="220" t="s">
        <v>833</v>
      </c>
      <c r="B458" s="220" t="s">
        <v>76</v>
      </c>
      <c r="C458" s="220" t="s">
        <v>239</v>
      </c>
      <c r="D458" s="220" t="s">
        <v>6</v>
      </c>
      <c r="E458" s="220" t="s">
        <v>404</v>
      </c>
      <c r="F458" s="220" t="s">
        <v>313</v>
      </c>
      <c r="G458" s="222">
        <v>10</v>
      </c>
      <c r="H458" s="222">
        <v>10</v>
      </c>
      <c r="I458" s="222">
        <v>10</v>
      </c>
      <c r="J458" s="214"/>
      <c r="K458" s="214"/>
      <c r="L458" s="214"/>
      <c r="M458" s="214"/>
      <c r="N458" s="214"/>
      <c r="O458" s="214"/>
      <c r="P458" s="214"/>
    </row>
    <row r="459" spans="1:16" ht="51">
      <c r="A459" s="220" t="s">
        <v>1254</v>
      </c>
      <c r="B459" s="220" t="s">
        <v>76</v>
      </c>
      <c r="C459" s="220" t="s">
        <v>239</v>
      </c>
      <c r="D459" s="220" t="s">
        <v>6</v>
      </c>
      <c r="E459" s="220" t="s">
        <v>437</v>
      </c>
      <c r="F459" s="221"/>
      <c r="G459" s="222">
        <v>438.00799999999998</v>
      </c>
      <c r="H459" s="222">
        <v>438.00799999999998</v>
      </c>
      <c r="I459" s="222">
        <v>438.00799999999998</v>
      </c>
      <c r="J459" s="214"/>
      <c r="K459" s="214"/>
      <c r="L459" s="214"/>
      <c r="M459" s="214"/>
      <c r="N459" s="214"/>
      <c r="O459" s="214"/>
      <c r="P459" s="214"/>
    </row>
    <row r="460" spans="1:16" ht="63.75">
      <c r="A460" s="220" t="s">
        <v>1267</v>
      </c>
      <c r="B460" s="220" t="s">
        <v>76</v>
      </c>
      <c r="C460" s="220" t="s">
        <v>239</v>
      </c>
      <c r="D460" s="220" t="s">
        <v>6</v>
      </c>
      <c r="E460" s="220" t="s">
        <v>1183</v>
      </c>
      <c r="F460" s="221"/>
      <c r="G460" s="222">
        <v>31.608000000000001</v>
      </c>
      <c r="H460" s="222">
        <v>31.608000000000001</v>
      </c>
      <c r="I460" s="222">
        <v>31.608000000000001</v>
      </c>
      <c r="J460" s="214"/>
      <c r="K460" s="214"/>
      <c r="L460" s="214"/>
      <c r="M460" s="214"/>
      <c r="N460" s="214"/>
      <c r="O460" s="214"/>
      <c r="P460" s="214"/>
    </row>
    <row r="461" spans="1:16" ht="51">
      <c r="A461" s="220" t="s">
        <v>1268</v>
      </c>
      <c r="B461" s="220" t="s">
        <v>76</v>
      </c>
      <c r="C461" s="220" t="s">
        <v>239</v>
      </c>
      <c r="D461" s="220" t="s">
        <v>6</v>
      </c>
      <c r="E461" s="220" t="s">
        <v>1185</v>
      </c>
      <c r="F461" s="221"/>
      <c r="G461" s="222">
        <v>31.608000000000001</v>
      </c>
      <c r="H461" s="222">
        <v>31.608000000000001</v>
      </c>
      <c r="I461" s="222">
        <v>31.608000000000001</v>
      </c>
      <c r="J461" s="214"/>
      <c r="K461" s="214"/>
      <c r="L461" s="214"/>
      <c r="M461" s="214"/>
      <c r="N461" s="214"/>
      <c r="O461" s="214"/>
      <c r="P461" s="214"/>
    </row>
    <row r="462" spans="1:16" ht="76.5">
      <c r="A462" s="220" t="s">
        <v>848</v>
      </c>
      <c r="B462" s="220" t="s">
        <v>76</v>
      </c>
      <c r="C462" s="220" t="s">
        <v>239</v>
      </c>
      <c r="D462" s="220" t="s">
        <v>6</v>
      </c>
      <c r="E462" s="220" t="s">
        <v>1185</v>
      </c>
      <c r="F462" s="220" t="s">
        <v>312</v>
      </c>
      <c r="G462" s="222">
        <v>25</v>
      </c>
      <c r="H462" s="222">
        <v>25</v>
      </c>
      <c r="I462" s="222">
        <v>25</v>
      </c>
      <c r="J462" s="214"/>
      <c r="K462" s="214"/>
      <c r="L462" s="214"/>
      <c r="M462" s="214"/>
      <c r="N462" s="214"/>
      <c r="O462" s="214"/>
      <c r="P462" s="214"/>
    </row>
    <row r="463" spans="1:16" ht="38.25">
      <c r="A463" s="220" t="s">
        <v>833</v>
      </c>
      <c r="B463" s="220" t="s">
        <v>76</v>
      </c>
      <c r="C463" s="220" t="s">
        <v>239</v>
      </c>
      <c r="D463" s="220" t="s">
        <v>6</v>
      </c>
      <c r="E463" s="220" t="s">
        <v>1185</v>
      </c>
      <c r="F463" s="220" t="s">
        <v>313</v>
      </c>
      <c r="G463" s="222">
        <v>4.2</v>
      </c>
      <c r="H463" s="222">
        <v>4.2</v>
      </c>
      <c r="I463" s="222">
        <v>4.2</v>
      </c>
      <c r="J463" s="214"/>
      <c r="K463" s="214"/>
      <c r="L463" s="214"/>
      <c r="M463" s="214"/>
      <c r="N463" s="214"/>
      <c r="O463" s="214"/>
      <c r="P463" s="214"/>
    </row>
    <row r="464" spans="1:16">
      <c r="A464" s="220" t="s">
        <v>849</v>
      </c>
      <c r="B464" s="220" t="s">
        <v>76</v>
      </c>
      <c r="C464" s="220" t="s">
        <v>239</v>
      </c>
      <c r="D464" s="220" t="s">
        <v>6</v>
      </c>
      <c r="E464" s="220" t="s">
        <v>1185</v>
      </c>
      <c r="F464" s="220" t="s">
        <v>314</v>
      </c>
      <c r="G464" s="222">
        <v>2.4079999999999999</v>
      </c>
      <c r="H464" s="222">
        <v>2.4079999999999999</v>
      </c>
      <c r="I464" s="222">
        <v>2.4079999999999999</v>
      </c>
      <c r="J464" s="214"/>
      <c r="K464" s="214"/>
      <c r="L464" s="214"/>
      <c r="M464" s="214"/>
      <c r="N464" s="214"/>
      <c r="O464" s="214"/>
      <c r="P464" s="214"/>
    </row>
    <row r="465" spans="1:16" ht="38.25">
      <c r="A465" s="220" t="s">
        <v>846</v>
      </c>
      <c r="B465" s="220" t="s">
        <v>76</v>
      </c>
      <c r="C465" s="220" t="s">
        <v>239</v>
      </c>
      <c r="D465" s="220" t="s">
        <v>6</v>
      </c>
      <c r="E465" s="220" t="s">
        <v>1190</v>
      </c>
      <c r="F465" s="221"/>
      <c r="G465" s="222">
        <v>200</v>
      </c>
      <c r="H465" s="222">
        <v>200</v>
      </c>
      <c r="I465" s="222">
        <v>200</v>
      </c>
      <c r="J465" s="214"/>
      <c r="K465" s="214"/>
      <c r="L465" s="214"/>
      <c r="M465" s="214"/>
      <c r="N465" s="214"/>
      <c r="O465" s="214"/>
      <c r="P465" s="214"/>
    </row>
    <row r="466" spans="1:16" ht="25.5">
      <c r="A466" s="220" t="s">
        <v>847</v>
      </c>
      <c r="B466" s="220" t="s">
        <v>76</v>
      </c>
      <c r="C466" s="220" t="s">
        <v>239</v>
      </c>
      <c r="D466" s="220" t="s">
        <v>6</v>
      </c>
      <c r="E466" s="220" t="s">
        <v>1191</v>
      </c>
      <c r="F466" s="221"/>
      <c r="G466" s="222">
        <v>200</v>
      </c>
      <c r="H466" s="222">
        <v>200</v>
      </c>
      <c r="I466" s="222">
        <v>200</v>
      </c>
      <c r="J466" s="214"/>
      <c r="K466" s="214"/>
      <c r="L466" s="214"/>
      <c r="M466" s="214"/>
      <c r="N466" s="214"/>
      <c r="O466" s="214"/>
      <c r="P466" s="214"/>
    </row>
    <row r="467" spans="1:16" ht="38.25">
      <c r="A467" s="220" t="s">
        <v>830</v>
      </c>
      <c r="B467" s="220" t="s">
        <v>76</v>
      </c>
      <c r="C467" s="220" t="s">
        <v>239</v>
      </c>
      <c r="D467" s="220" t="s">
        <v>6</v>
      </c>
      <c r="E467" s="220" t="s">
        <v>1191</v>
      </c>
      <c r="F467" s="220" t="s">
        <v>315</v>
      </c>
      <c r="G467" s="222">
        <v>200</v>
      </c>
      <c r="H467" s="222">
        <v>200</v>
      </c>
      <c r="I467" s="222">
        <v>200</v>
      </c>
      <c r="J467" s="214"/>
      <c r="K467" s="214"/>
      <c r="L467" s="214"/>
      <c r="M467" s="214"/>
      <c r="N467" s="214"/>
      <c r="O467" s="214"/>
      <c r="P467" s="214"/>
    </row>
    <row r="468" spans="1:16" ht="38.25">
      <c r="A468" s="220" t="s">
        <v>1269</v>
      </c>
      <c r="B468" s="220" t="s">
        <v>76</v>
      </c>
      <c r="C468" s="220" t="s">
        <v>239</v>
      </c>
      <c r="D468" s="220" t="s">
        <v>6</v>
      </c>
      <c r="E468" s="220" t="s">
        <v>1195</v>
      </c>
      <c r="F468" s="221"/>
      <c r="G468" s="222">
        <v>206.4</v>
      </c>
      <c r="H468" s="222">
        <v>206.4</v>
      </c>
      <c r="I468" s="222">
        <v>206.4</v>
      </c>
      <c r="J468" s="214"/>
      <c r="K468" s="214"/>
      <c r="L468" s="214"/>
      <c r="M468" s="214"/>
      <c r="N468" s="214"/>
      <c r="O468" s="214"/>
      <c r="P468" s="214"/>
    </row>
    <row r="469" spans="1:16" ht="51">
      <c r="A469" s="220" t="s">
        <v>1270</v>
      </c>
      <c r="B469" s="220" t="s">
        <v>76</v>
      </c>
      <c r="C469" s="220" t="s">
        <v>239</v>
      </c>
      <c r="D469" s="220" t="s">
        <v>6</v>
      </c>
      <c r="E469" s="220" t="s">
        <v>1197</v>
      </c>
      <c r="F469" s="221"/>
      <c r="G469" s="222">
        <v>206.4</v>
      </c>
      <c r="H469" s="222">
        <v>206.4</v>
      </c>
      <c r="I469" s="222">
        <v>206.4</v>
      </c>
      <c r="J469" s="214"/>
      <c r="K469" s="214"/>
      <c r="L469" s="214"/>
      <c r="M469" s="214"/>
      <c r="N469" s="214"/>
      <c r="O469" s="214"/>
      <c r="P469" s="214"/>
    </row>
    <row r="470" spans="1:16" ht="38.25">
      <c r="A470" s="220" t="s">
        <v>833</v>
      </c>
      <c r="B470" s="220" t="s">
        <v>76</v>
      </c>
      <c r="C470" s="220" t="s">
        <v>239</v>
      </c>
      <c r="D470" s="220" t="s">
        <v>6</v>
      </c>
      <c r="E470" s="220" t="s">
        <v>1197</v>
      </c>
      <c r="F470" s="220" t="s">
        <v>313</v>
      </c>
      <c r="G470" s="222">
        <v>206.4</v>
      </c>
      <c r="H470" s="222">
        <v>206.4</v>
      </c>
      <c r="I470" s="222">
        <v>206.4</v>
      </c>
      <c r="J470" s="214"/>
      <c r="K470" s="214"/>
      <c r="L470" s="214"/>
      <c r="M470" s="214"/>
      <c r="N470" s="214"/>
      <c r="O470" s="214"/>
      <c r="P470" s="214"/>
    </row>
    <row r="471" spans="1:16" ht="51">
      <c r="A471" s="220" t="s">
        <v>549</v>
      </c>
      <c r="B471" s="220" t="s">
        <v>76</v>
      </c>
      <c r="C471" s="220" t="s">
        <v>239</v>
      </c>
      <c r="D471" s="220" t="s">
        <v>6</v>
      </c>
      <c r="E471" s="220" t="s">
        <v>444</v>
      </c>
      <c r="F471" s="221"/>
      <c r="G471" s="222">
        <v>183.19800000000001</v>
      </c>
      <c r="H471" s="222">
        <v>183.19800000000001</v>
      </c>
      <c r="I471" s="222">
        <v>183.19800000000001</v>
      </c>
      <c r="J471" s="214"/>
      <c r="K471" s="214"/>
      <c r="L471" s="214"/>
      <c r="M471" s="214"/>
      <c r="N471" s="214"/>
      <c r="O471" s="214"/>
      <c r="P471" s="214"/>
    </row>
    <row r="472" spans="1:16" ht="51">
      <c r="A472" s="220" t="s">
        <v>1247</v>
      </c>
      <c r="B472" s="220" t="s">
        <v>76</v>
      </c>
      <c r="C472" s="220" t="s">
        <v>239</v>
      </c>
      <c r="D472" s="220" t="s">
        <v>6</v>
      </c>
      <c r="E472" s="220" t="s">
        <v>445</v>
      </c>
      <c r="F472" s="221"/>
      <c r="G472" s="222">
        <v>33.198</v>
      </c>
      <c r="H472" s="222">
        <v>33.198</v>
      </c>
      <c r="I472" s="222">
        <v>33.198</v>
      </c>
      <c r="J472" s="214"/>
      <c r="K472" s="214"/>
      <c r="L472" s="214"/>
      <c r="M472" s="214"/>
      <c r="N472" s="214"/>
      <c r="O472" s="214"/>
      <c r="P472" s="214"/>
    </row>
    <row r="473" spans="1:16" ht="51">
      <c r="A473" s="220" t="s">
        <v>900</v>
      </c>
      <c r="B473" s="220" t="s">
        <v>76</v>
      </c>
      <c r="C473" s="220" t="s">
        <v>239</v>
      </c>
      <c r="D473" s="220" t="s">
        <v>6</v>
      </c>
      <c r="E473" s="220" t="s">
        <v>449</v>
      </c>
      <c r="F473" s="221"/>
      <c r="G473" s="222">
        <v>33.198</v>
      </c>
      <c r="H473" s="222">
        <v>33.198</v>
      </c>
      <c r="I473" s="222">
        <v>33.198</v>
      </c>
      <c r="J473" s="214"/>
      <c r="K473" s="214"/>
      <c r="L473" s="214"/>
      <c r="M473" s="214"/>
      <c r="N473" s="214"/>
      <c r="O473" s="214"/>
      <c r="P473" s="214"/>
    </row>
    <row r="474" spans="1:16" ht="38.25">
      <c r="A474" s="220" t="s">
        <v>901</v>
      </c>
      <c r="B474" s="220" t="s">
        <v>76</v>
      </c>
      <c r="C474" s="220" t="s">
        <v>239</v>
      </c>
      <c r="D474" s="220" t="s">
        <v>6</v>
      </c>
      <c r="E474" s="220" t="s">
        <v>450</v>
      </c>
      <c r="F474" s="221"/>
      <c r="G474" s="222">
        <v>33.198</v>
      </c>
      <c r="H474" s="222">
        <v>33.198</v>
      </c>
      <c r="I474" s="222">
        <v>33.198</v>
      </c>
      <c r="J474" s="214"/>
      <c r="K474" s="214"/>
      <c r="L474" s="214"/>
      <c r="M474" s="214"/>
      <c r="N474" s="214"/>
      <c r="O474" s="214"/>
      <c r="P474" s="214"/>
    </row>
    <row r="475" spans="1:16" ht="38.25">
      <c r="A475" s="220" t="s">
        <v>833</v>
      </c>
      <c r="B475" s="220" t="s">
        <v>76</v>
      </c>
      <c r="C475" s="220" t="s">
        <v>239</v>
      </c>
      <c r="D475" s="220" t="s">
        <v>6</v>
      </c>
      <c r="E475" s="220" t="s">
        <v>450</v>
      </c>
      <c r="F475" s="220" t="s">
        <v>313</v>
      </c>
      <c r="G475" s="222">
        <v>33.198</v>
      </c>
      <c r="H475" s="222">
        <v>33.198</v>
      </c>
      <c r="I475" s="222">
        <v>33.198</v>
      </c>
      <c r="J475" s="214"/>
      <c r="K475" s="214"/>
      <c r="L475" s="214"/>
      <c r="M475" s="214"/>
      <c r="N475" s="214"/>
      <c r="O475" s="214"/>
      <c r="P475" s="214"/>
    </row>
    <row r="476" spans="1:16" ht="25.5">
      <c r="A476" s="220" t="s">
        <v>587</v>
      </c>
      <c r="B476" s="220" t="s">
        <v>76</v>
      </c>
      <c r="C476" s="220" t="s">
        <v>239</v>
      </c>
      <c r="D476" s="220" t="s">
        <v>6</v>
      </c>
      <c r="E476" s="220" t="s">
        <v>452</v>
      </c>
      <c r="F476" s="221"/>
      <c r="G476" s="222">
        <v>150</v>
      </c>
      <c r="H476" s="222">
        <v>150</v>
      </c>
      <c r="I476" s="222">
        <v>150</v>
      </c>
      <c r="J476" s="214"/>
      <c r="K476" s="214"/>
      <c r="L476" s="214"/>
      <c r="M476" s="214"/>
      <c r="N476" s="214"/>
      <c r="O476" s="214"/>
      <c r="P476" s="214"/>
    </row>
    <row r="477" spans="1:16" ht="76.5">
      <c r="A477" s="220" t="s">
        <v>1359</v>
      </c>
      <c r="B477" s="220" t="s">
        <v>76</v>
      </c>
      <c r="C477" s="220" t="s">
        <v>239</v>
      </c>
      <c r="D477" s="220" t="s">
        <v>6</v>
      </c>
      <c r="E477" s="220" t="s">
        <v>453</v>
      </c>
      <c r="F477" s="221"/>
      <c r="G477" s="222">
        <v>150</v>
      </c>
      <c r="H477" s="222">
        <v>150</v>
      </c>
      <c r="I477" s="222">
        <v>150</v>
      </c>
      <c r="J477" s="214"/>
      <c r="K477" s="214"/>
      <c r="L477" s="214"/>
      <c r="M477" s="214"/>
      <c r="N477" s="214"/>
      <c r="O477" s="214"/>
      <c r="P477" s="214"/>
    </row>
    <row r="478" spans="1:16" ht="38.25">
      <c r="A478" s="220" t="s">
        <v>903</v>
      </c>
      <c r="B478" s="220" t="s">
        <v>76</v>
      </c>
      <c r="C478" s="220" t="s">
        <v>239</v>
      </c>
      <c r="D478" s="220" t="s">
        <v>6</v>
      </c>
      <c r="E478" s="220" t="s">
        <v>1219</v>
      </c>
      <c r="F478" s="221"/>
      <c r="G478" s="222">
        <v>150</v>
      </c>
      <c r="H478" s="222">
        <v>150</v>
      </c>
      <c r="I478" s="222">
        <v>150</v>
      </c>
      <c r="J478" s="214"/>
      <c r="K478" s="214"/>
      <c r="L478" s="214"/>
      <c r="M478" s="214"/>
      <c r="N478" s="214"/>
      <c r="O478" s="214"/>
      <c r="P478" s="214"/>
    </row>
    <row r="479" spans="1:16" ht="38.25">
      <c r="A479" s="220" t="s">
        <v>830</v>
      </c>
      <c r="B479" s="220" t="s">
        <v>76</v>
      </c>
      <c r="C479" s="220" t="s">
        <v>239</v>
      </c>
      <c r="D479" s="220" t="s">
        <v>6</v>
      </c>
      <c r="E479" s="220" t="s">
        <v>1219</v>
      </c>
      <c r="F479" s="220" t="s">
        <v>315</v>
      </c>
      <c r="G479" s="222">
        <v>135</v>
      </c>
      <c r="H479" s="222">
        <v>100</v>
      </c>
      <c r="I479" s="222">
        <v>100</v>
      </c>
      <c r="J479" s="214"/>
      <c r="K479" s="214"/>
      <c r="L479" s="214"/>
      <c r="M479" s="214"/>
      <c r="N479" s="214"/>
      <c r="O479" s="214"/>
      <c r="P479" s="214"/>
    </row>
    <row r="480" spans="1:16">
      <c r="A480" s="220" t="s">
        <v>849</v>
      </c>
      <c r="B480" s="220" t="s">
        <v>76</v>
      </c>
      <c r="C480" s="220" t="s">
        <v>239</v>
      </c>
      <c r="D480" s="220" t="s">
        <v>6</v>
      </c>
      <c r="E480" s="220" t="s">
        <v>1219</v>
      </c>
      <c r="F480" s="220" t="s">
        <v>314</v>
      </c>
      <c r="G480" s="222">
        <v>15</v>
      </c>
      <c r="H480" s="222">
        <v>50</v>
      </c>
      <c r="I480" s="222">
        <v>50</v>
      </c>
      <c r="J480" s="214"/>
      <c r="K480" s="214"/>
      <c r="L480" s="214"/>
      <c r="M480" s="214"/>
      <c r="N480" s="214"/>
      <c r="O480" s="214"/>
      <c r="P480" s="214"/>
    </row>
    <row r="481" spans="1:16" ht="38.25">
      <c r="A481" s="220" t="s">
        <v>589</v>
      </c>
      <c r="B481" s="220" t="s">
        <v>76</v>
      </c>
      <c r="C481" s="220" t="s">
        <v>239</v>
      </c>
      <c r="D481" s="220" t="s">
        <v>6</v>
      </c>
      <c r="E481" s="220" t="s">
        <v>505</v>
      </c>
      <c r="F481" s="221"/>
      <c r="G481" s="222">
        <v>819.3</v>
      </c>
      <c r="H481" s="222">
        <v>0</v>
      </c>
      <c r="I481" s="222">
        <v>0</v>
      </c>
      <c r="J481" s="214"/>
      <c r="K481" s="214"/>
      <c r="L481" s="214"/>
      <c r="M481" s="214"/>
      <c r="N481" s="214"/>
      <c r="O481" s="214"/>
      <c r="P481" s="214"/>
    </row>
    <row r="482" spans="1:16">
      <c r="A482" s="220" t="s">
        <v>574</v>
      </c>
      <c r="B482" s="220" t="s">
        <v>76</v>
      </c>
      <c r="C482" s="220" t="s">
        <v>239</v>
      </c>
      <c r="D482" s="220" t="s">
        <v>6</v>
      </c>
      <c r="E482" s="220" t="s">
        <v>506</v>
      </c>
      <c r="F482" s="221"/>
      <c r="G482" s="222">
        <v>819.3</v>
      </c>
      <c r="H482" s="222">
        <v>0</v>
      </c>
      <c r="I482" s="222">
        <v>0</v>
      </c>
      <c r="J482" s="214"/>
      <c r="K482" s="214"/>
      <c r="L482" s="214"/>
      <c r="M482" s="214"/>
      <c r="N482" s="214"/>
      <c r="O482" s="214"/>
      <c r="P482" s="214"/>
    </row>
    <row r="483" spans="1:16" ht="114.75">
      <c r="A483" s="220" t="s">
        <v>1384</v>
      </c>
      <c r="B483" s="220" t="s">
        <v>76</v>
      </c>
      <c r="C483" s="220" t="s">
        <v>239</v>
      </c>
      <c r="D483" s="220" t="s">
        <v>6</v>
      </c>
      <c r="E483" s="220" t="s">
        <v>1379</v>
      </c>
      <c r="F483" s="221"/>
      <c r="G483" s="222">
        <v>819.3</v>
      </c>
      <c r="H483" s="222">
        <v>0</v>
      </c>
      <c r="I483" s="222">
        <v>0</v>
      </c>
      <c r="J483" s="214"/>
      <c r="K483" s="214"/>
      <c r="L483" s="214"/>
      <c r="M483" s="214"/>
      <c r="N483" s="214"/>
      <c r="O483" s="214"/>
      <c r="P483" s="214"/>
    </row>
    <row r="484" spans="1:16" ht="38.25">
      <c r="A484" s="220" t="s">
        <v>833</v>
      </c>
      <c r="B484" s="220" t="s">
        <v>76</v>
      </c>
      <c r="C484" s="220" t="s">
        <v>239</v>
      </c>
      <c r="D484" s="220" t="s">
        <v>6</v>
      </c>
      <c r="E484" s="220" t="s">
        <v>1379</v>
      </c>
      <c r="F484" s="220" t="s">
        <v>313</v>
      </c>
      <c r="G484" s="222">
        <v>819.3</v>
      </c>
      <c r="H484" s="222">
        <v>0</v>
      </c>
      <c r="I484" s="222">
        <v>0</v>
      </c>
      <c r="J484" s="214"/>
      <c r="K484" s="214"/>
      <c r="L484" s="214"/>
      <c r="M484" s="214"/>
      <c r="N484" s="214"/>
      <c r="O484" s="214"/>
      <c r="P484" s="214"/>
    </row>
    <row r="485" spans="1:16">
      <c r="A485" s="220" t="s">
        <v>537</v>
      </c>
      <c r="B485" s="220" t="s">
        <v>76</v>
      </c>
      <c r="C485" s="220" t="s">
        <v>234</v>
      </c>
      <c r="D485" s="221"/>
      <c r="E485" s="221"/>
      <c r="F485" s="221"/>
      <c r="G485" s="222">
        <v>200</v>
      </c>
      <c r="H485" s="222">
        <v>200</v>
      </c>
      <c r="I485" s="222">
        <v>200</v>
      </c>
      <c r="J485" s="214"/>
      <c r="K485" s="214"/>
      <c r="L485" s="214"/>
      <c r="M485" s="214"/>
      <c r="N485" s="214"/>
      <c r="O485" s="214"/>
      <c r="P485" s="214"/>
    </row>
    <row r="486" spans="1:16" ht="25.5">
      <c r="A486" s="220" t="s">
        <v>538</v>
      </c>
      <c r="B486" s="220" t="s">
        <v>76</v>
      </c>
      <c r="C486" s="220" t="s">
        <v>234</v>
      </c>
      <c r="D486" s="220" t="s">
        <v>235</v>
      </c>
      <c r="E486" s="221"/>
      <c r="F486" s="221"/>
      <c r="G486" s="222">
        <v>200</v>
      </c>
      <c r="H486" s="222">
        <v>200</v>
      </c>
      <c r="I486" s="222">
        <v>200</v>
      </c>
      <c r="J486" s="214"/>
      <c r="K486" s="214"/>
      <c r="L486" s="214"/>
      <c r="M486" s="214"/>
      <c r="N486" s="214"/>
      <c r="O486" s="214"/>
      <c r="P486" s="214"/>
    </row>
    <row r="487" spans="1:16" ht="51">
      <c r="A487" s="220" t="s">
        <v>1271</v>
      </c>
      <c r="B487" s="220" t="s">
        <v>76</v>
      </c>
      <c r="C487" s="220" t="s">
        <v>234</v>
      </c>
      <c r="D487" s="220" t="s">
        <v>235</v>
      </c>
      <c r="E487" s="220" t="s">
        <v>418</v>
      </c>
      <c r="F487" s="221"/>
      <c r="G487" s="222">
        <v>200</v>
      </c>
      <c r="H487" s="222">
        <v>200</v>
      </c>
      <c r="I487" s="222">
        <v>200</v>
      </c>
      <c r="J487" s="214"/>
      <c r="K487" s="214"/>
      <c r="L487" s="214"/>
      <c r="M487" s="214"/>
      <c r="N487" s="214"/>
      <c r="O487" s="214"/>
      <c r="P487" s="214"/>
    </row>
    <row r="488" spans="1:16" ht="38.25">
      <c r="A488" s="220" t="s">
        <v>1272</v>
      </c>
      <c r="B488" s="220" t="s">
        <v>76</v>
      </c>
      <c r="C488" s="220" t="s">
        <v>234</v>
      </c>
      <c r="D488" s="220" t="s">
        <v>235</v>
      </c>
      <c r="E488" s="220" t="s">
        <v>1147</v>
      </c>
      <c r="F488" s="221"/>
      <c r="G488" s="222">
        <v>200</v>
      </c>
      <c r="H488" s="222">
        <v>200</v>
      </c>
      <c r="I488" s="222">
        <v>200</v>
      </c>
      <c r="J488" s="214"/>
      <c r="K488" s="214"/>
      <c r="L488" s="214"/>
      <c r="M488" s="214"/>
      <c r="N488" s="214"/>
      <c r="O488" s="214"/>
      <c r="P488" s="214"/>
    </row>
    <row r="489" spans="1:16" ht="38.25">
      <c r="A489" s="220" t="s">
        <v>973</v>
      </c>
      <c r="B489" s="220" t="s">
        <v>76</v>
      </c>
      <c r="C489" s="220" t="s">
        <v>234</v>
      </c>
      <c r="D489" s="220" t="s">
        <v>235</v>
      </c>
      <c r="E489" s="220" t="s">
        <v>1148</v>
      </c>
      <c r="F489" s="221"/>
      <c r="G489" s="222">
        <v>200</v>
      </c>
      <c r="H489" s="222">
        <v>200</v>
      </c>
      <c r="I489" s="222">
        <v>200</v>
      </c>
      <c r="J489" s="214"/>
      <c r="K489" s="214"/>
      <c r="L489" s="214"/>
      <c r="M489" s="214"/>
      <c r="N489" s="214"/>
      <c r="O489" s="214"/>
      <c r="P489" s="214"/>
    </row>
    <row r="490" spans="1:16">
      <c r="A490" s="220" t="s">
        <v>849</v>
      </c>
      <c r="B490" s="220" t="s">
        <v>76</v>
      </c>
      <c r="C490" s="220" t="s">
        <v>234</v>
      </c>
      <c r="D490" s="220" t="s">
        <v>235</v>
      </c>
      <c r="E490" s="220" t="s">
        <v>1148</v>
      </c>
      <c r="F490" s="220" t="s">
        <v>314</v>
      </c>
      <c r="G490" s="222">
        <v>200</v>
      </c>
      <c r="H490" s="222">
        <v>200</v>
      </c>
      <c r="I490" s="222">
        <v>200</v>
      </c>
      <c r="J490" s="214"/>
      <c r="K490" s="214"/>
      <c r="L490" s="214"/>
      <c r="M490" s="214"/>
      <c r="N490" s="214"/>
      <c r="O490" s="214"/>
      <c r="P490" s="214"/>
    </row>
    <row r="491" spans="1:16" ht="25.5">
      <c r="A491" s="220" t="s">
        <v>575</v>
      </c>
      <c r="B491" s="220" t="s">
        <v>76</v>
      </c>
      <c r="C491" s="220" t="s">
        <v>4</v>
      </c>
      <c r="D491" s="221"/>
      <c r="E491" s="221"/>
      <c r="F491" s="221"/>
      <c r="G491" s="222">
        <v>13804.64357</v>
      </c>
      <c r="H491" s="222">
        <v>7060.4</v>
      </c>
      <c r="I491" s="222">
        <v>7060.4</v>
      </c>
      <c r="J491" s="214"/>
      <c r="K491" s="214"/>
      <c r="L491" s="214"/>
      <c r="M491" s="214"/>
      <c r="N491" s="214"/>
      <c r="O491" s="214"/>
      <c r="P491" s="214"/>
    </row>
    <row r="492" spans="1:16">
      <c r="A492" s="220" t="s">
        <v>576</v>
      </c>
      <c r="B492" s="220" t="s">
        <v>76</v>
      </c>
      <c r="C492" s="220" t="s">
        <v>4</v>
      </c>
      <c r="D492" s="220" t="s">
        <v>239</v>
      </c>
      <c r="E492" s="221"/>
      <c r="F492" s="221"/>
      <c r="G492" s="222">
        <v>13754.243570000001</v>
      </c>
      <c r="H492" s="222">
        <v>7040</v>
      </c>
      <c r="I492" s="222">
        <v>7040</v>
      </c>
      <c r="J492" s="214"/>
      <c r="K492" s="214"/>
      <c r="L492" s="214"/>
      <c r="M492" s="214"/>
      <c r="N492" s="214"/>
      <c r="O492" s="214"/>
      <c r="P492" s="214"/>
    </row>
    <row r="493" spans="1:16" ht="63.75">
      <c r="A493" s="220" t="s">
        <v>565</v>
      </c>
      <c r="B493" s="220" t="s">
        <v>76</v>
      </c>
      <c r="C493" s="220" t="s">
        <v>4</v>
      </c>
      <c r="D493" s="220" t="s">
        <v>239</v>
      </c>
      <c r="E493" s="220" t="s">
        <v>401</v>
      </c>
      <c r="F493" s="221"/>
      <c r="G493" s="222">
        <v>8640</v>
      </c>
      <c r="H493" s="222">
        <v>7040</v>
      </c>
      <c r="I493" s="222">
        <v>7040</v>
      </c>
      <c r="J493" s="214"/>
      <c r="K493" s="214"/>
      <c r="L493" s="214"/>
      <c r="M493" s="214"/>
      <c r="N493" s="214"/>
      <c r="O493" s="214"/>
      <c r="P493" s="214"/>
    </row>
    <row r="494" spans="1:16">
      <c r="A494" s="220" t="s">
        <v>566</v>
      </c>
      <c r="B494" s="220" t="s">
        <v>76</v>
      </c>
      <c r="C494" s="220" t="s">
        <v>4</v>
      </c>
      <c r="D494" s="220" t="s">
        <v>239</v>
      </c>
      <c r="E494" s="220" t="s">
        <v>402</v>
      </c>
      <c r="F494" s="221"/>
      <c r="G494" s="222">
        <v>8640</v>
      </c>
      <c r="H494" s="222">
        <v>7040</v>
      </c>
      <c r="I494" s="222">
        <v>7040</v>
      </c>
      <c r="J494" s="214"/>
      <c r="K494" s="214"/>
      <c r="L494" s="214"/>
      <c r="M494" s="214"/>
      <c r="N494" s="214"/>
      <c r="O494" s="214"/>
      <c r="P494" s="214"/>
    </row>
    <row r="495" spans="1:16" ht="140.25">
      <c r="A495" s="220" t="s">
        <v>867</v>
      </c>
      <c r="B495" s="220" t="s">
        <v>76</v>
      </c>
      <c r="C495" s="220" t="s">
        <v>4</v>
      </c>
      <c r="D495" s="220" t="s">
        <v>239</v>
      </c>
      <c r="E495" s="220" t="s">
        <v>403</v>
      </c>
      <c r="F495" s="221"/>
      <c r="G495" s="222">
        <v>8640</v>
      </c>
      <c r="H495" s="222">
        <v>7040</v>
      </c>
      <c r="I495" s="222">
        <v>7040</v>
      </c>
      <c r="J495" s="214"/>
      <c r="K495" s="214"/>
      <c r="L495" s="214"/>
      <c r="M495" s="214"/>
      <c r="N495" s="214"/>
      <c r="O495" s="214"/>
      <c r="P495" s="214"/>
    </row>
    <row r="496" spans="1:16" ht="76.5">
      <c r="A496" s="220" t="s">
        <v>875</v>
      </c>
      <c r="B496" s="220" t="s">
        <v>76</v>
      </c>
      <c r="C496" s="220" t="s">
        <v>4</v>
      </c>
      <c r="D496" s="220" t="s">
        <v>239</v>
      </c>
      <c r="E496" s="220" t="s">
        <v>405</v>
      </c>
      <c r="F496" s="221"/>
      <c r="G496" s="222">
        <v>70</v>
      </c>
      <c r="H496" s="222">
        <v>70</v>
      </c>
      <c r="I496" s="222">
        <v>70</v>
      </c>
      <c r="J496" s="214"/>
      <c r="K496" s="214"/>
      <c r="L496" s="214"/>
      <c r="M496" s="214"/>
      <c r="N496" s="214"/>
      <c r="O496" s="214"/>
      <c r="P496" s="214"/>
    </row>
    <row r="497" spans="1:16" ht="38.25">
      <c r="A497" s="220" t="s">
        <v>833</v>
      </c>
      <c r="B497" s="220" t="s">
        <v>76</v>
      </c>
      <c r="C497" s="220" t="s">
        <v>4</v>
      </c>
      <c r="D497" s="220" t="s">
        <v>239</v>
      </c>
      <c r="E497" s="220" t="s">
        <v>405</v>
      </c>
      <c r="F497" s="220" t="s">
        <v>313</v>
      </c>
      <c r="G497" s="222">
        <v>70</v>
      </c>
      <c r="H497" s="222">
        <v>70</v>
      </c>
      <c r="I497" s="222">
        <v>70</v>
      </c>
      <c r="J497" s="214"/>
      <c r="K497" s="214"/>
      <c r="L497" s="214"/>
      <c r="M497" s="214"/>
      <c r="N497" s="214"/>
      <c r="O497" s="214"/>
      <c r="P497" s="214"/>
    </row>
    <row r="498" spans="1:16" ht="51">
      <c r="A498" s="220" t="s">
        <v>876</v>
      </c>
      <c r="B498" s="220" t="s">
        <v>76</v>
      </c>
      <c r="C498" s="220" t="s">
        <v>4</v>
      </c>
      <c r="D498" s="220" t="s">
        <v>239</v>
      </c>
      <c r="E498" s="220" t="s">
        <v>406</v>
      </c>
      <c r="F498" s="221"/>
      <c r="G498" s="222">
        <v>40</v>
      </c>
      <c r="H498" s="222">
        <v>40</v>
      </c>
      <c r="I498" s="222">
        <v>40</v>
      </c>
      <c r="J498" s="214"/>
      <c r="K498" s="214"/>
      <c r="L498" s="214"/>
      <c r="M498" s="214"/>
      <c r="N498" s="214"/>
      <c r="O498" s="214"/>
      <c r="P498" s="214"/>
    </row>
    <row r="499" spans="1:16" ht="38.25">
      <c r="A499" s="220" t="s">
        <v>833</v>
      </c>
      <c r="B499" s="220" t="s">
        <v>76</v>
      </c>
      <c r="C499" s="220" t="s">
        <v>4</v>
      </c>
      <c r="D499" s="220" t="s">
        <v>239</v>
      </c>
      <c r="E499" s="220" t="s">
        <v>406</v>
      </c>
      <c r="F499" s="220" t="s">
        <v>313</v>
      </c>
      <c r="G499" s="222">
        <v>40</v>
      </c>
      <c r="H499" s="222">
        <v>40</v>
      </c>
      <c r="I499" s="222">
        <v>40</v>
      </c>
      <c r="J499" s="214"/>
      <c r="K499" s="214"/>
      <c r="L499" s="214"/>
      <c r="M499" s="214"/>
      <c r="N499" s="214"/>
      <c r="O499" s="214"/>
      <c r="P499" s="214"/>
    </row>
    <row r="500" spans="1:16" ht="38.25">
      <c r="A500" s="220" t="s">
        <v>877</v>
      </c>
      <c r="B500" s="220" t="s">
        <v>76</v>
      </c>
      <c r="C500" s="220" t="s">
        <v>4</v>
      </c>
      <c r="D500" s="220" t="s">
        <v>239</v>
      </c>
      <c r="E500" s="220" t="s">
        <v>407</v>
      </c>
      <c r="F500" s="221"/>
      <c r="G500" s="222">
        <v>5300</v>
      </c>
      <c r="H500" s="222">
        <v>5300</v>
      </c>
      <c r="I500" s="222">
        <v>5300</v>
      </c>
      <c r="J500" s="214"/>
      <c r="K500" s="214"/>
      <c r="L500" s="214"/>
      <c r="M500" s="214"/>
      <c r="N500" s="214"/>
      <c r="O500" s="214"/>
      <c r="P500" s="214"/>
    </row>
    <row r="501" spans="1:16" ht="38.25">
      <c r="A501" s="220" t="s">
        <v>833</v>
      </c>
      <c r="B501" s="220" t="s">
        <v>76</v>
      </c>
      <c r="C501" s="220" t="s">
        <v>4</v>
      </c>
      <c r="D501" s="220" t="s">
        <v>239</v>
      </c>
      <c r="E501" s="220" t="s">
        <v>407</v>
      </c>
      <c r="F501" s="220" t="s">
        <v>313</v>
      </c>
      <c r="G501" s="222">
        <v>5300</v>
      </c>
      <c r="H501" s="222">
        <v>5300</v>
      </c>
      <c r="I501" s="222">
        <v>5300</v>
      </c>
      <c r="J501" s="214"/>
      <c r="K501" s="214"/>
      <c r="L501" s="214"/>
      <c r="M501" s="214"/>
      <c r="N501" s="214"/>
      <c r="O501" s="214"/>
      <c r="P501" s="214"/>
    </row>
    <row r="502" spans="1:16" ht="51">
      <c r="A502" s="220" t="s">
        <v>879</v>
      </c>
      <c r="B502" s="220" t="s">
        <v>76</v>
      </c>
      <c r="C502" s="220" t="s">
        <v>4</v>
      </c>
      <c r="D502" s="220" t="s">
        <v>239</v>
      </c>
      <c r="E502" s="220" t="s">
        <v>409</v>
      </c>
      <c r="F502" s="221"/>
      <c r="G502" s="222">
        <v>550</v>
      </c>
      <c r="H502" s="222">
        <v>550</v>
      </c>
      <c r="I502" s="222">
        <v>550</v>
      </c>
      <c r="J502" s="214"/>
      <c r="K502" s="214"/>
      <c r="L502" s="214"/>
      <c r="M502" s="214"/>
      <c r="N502" s="214"/>
      <c r="O502" s="214"/>
      <c r="P502" s="214"/>
    </row>
    <row r="503" spans="1:16" ht="38.25">
      <c r="A503" s="220" t="s">
        <v>833</v>
      </c>
      <c r="B503" s="220" t="s">
        <v>76</v>
      </c>
      <c r="C503" s="220" t="s">
        <v>4</v>
      </c>
      <c r="D503" s="220" t="s">
        <v>239</v>
      </c>
      <c r="E503" s="220" t="s">
        <v>409</v>
      </c>
      <c r="F503" s="220" t="s">
        <v>313</v>
      </c>
      <c r="G503" s="222">
        <v>550</v>
      </c>
      <c r="H503" s="222">
        <v>550</v>
      </c>
      <c r="I503" s="222">
        <v>550</v>
      </c>
      <c r="J503" s="214"/>
      <c r="K503" s="214"/>
      <c r="L503" s="214"/>
      <c r="M503" s="214"/>
      <c r="N503" s="214"/>
      <c r="O503" s="214"/>
      <c r="P503" s="214"/>
    </row>
    <row r="504" spans="1:16" ht="63.75">
      <c r="A504" s="220" t="s">
        <v>880</v>
      </c>
      <c r="B504" s="220" t="s">
        <v>76</v>
      </c>
      <c r="C504" s="220" t="s">
        <v>4</v>
      </c>
      <c r="D504" s="220" t="s">
        <v>239</v>
      </c>
      <c r="E504" s="220" t="s">
        <v>410</v>
      </c>
      <c r="F504" s="221"/>
      <c r="G504" s="222">
        <v>80</v>
      </c>
      <c r="H504" s="222">
        <v>80</v>
      </c>
      <c r="I504" s="222">
        <v>80</v>
      </c>
      <c r="J504" s="214"/>
      <c r="K504" s="214"/>
      <c r="L504" s="214"/>
      <c r="M504" s="214"/>
      <c r="N504" s="214"/>
      <c r="O504" s="214"/>
      <c r="P504" s="214"/>
    </row>
    <row r="505" spans="1:16" ht="38.25">
      <c r="A505" s="220" t="s">
        <v>833</v>
      </c>
      <c r="B505" s="220" t="s">
        <v>76</v>
      </c>
      <c r="C505" s="220" t="s">
        <v>4</v>
      </c>
      <c r="D505" s="220" t="s">
        <v>239</v>
      </c>
      <c r="E505" s="220" t="s">
        <v>410</v>
      </c>
      <c r="F505" s="220" t="s">
        <v>313</v>
      </c>
      <c r="G505" s="222">
        <v>80</v>
      </c>
      <c r="H505" s="222">
        <v>80</v>
      </c>
      <c r="I505" s="222">
        <v>80</v>
      </c>
      <c r="J505" s="214"/>
      <c r="K505" s="214"/>
      <c r="L505" s="214"/>
      <c r="M505" s="214"/>
      <c r="N505" s="214"/>
      <c r="O505" s="214"/>
      <c r="P505" s="214"/>
    </row>
    <row r="506" spans="1:16" ht="38.25">
      <c r="A506" s="220" t="s">
        <v>881</v>
      </c>
      <c r="B506" s="220" t="s">
        <v>76</v>
      </c>
      <c r="C506" s="220" t="s">
        <v>4</v>
      </c>
      <c r="D506" s="220" t="s">
        <v>239</v>
      </c>
      <c r="E506" s="220" t="s">
        <v>411</v>
      </c>
      <c r="F506" s="221"/>
      <c r="G506" s="222">
        <v>1000</v>
      </c>
      <c r="H506" s="222">
        <v>1000</v>
      </c>
      <c r="I506" s="222">
        <v>1000</v>
      </c>
      <c r="J506" s="214"/>
      <c r="K506" s="214"/>
      <c r="L506" s="214"/>
      <c r="M506" s="214"/>
      <c r="N506" s="214"/>
      <c r="O506" s="214"/>
      <c r="P506" s="214"/>
    </row>
    <row r="507" spans="1:16">
      <c r="A507" s="220" t="s">
        <v>849</v>
      </c>
      <c r="B507" s="220" t="s">
        <v>76</v>
      </c>
      <c r="C507" s="220" t="s">
        <v>4</v>
      </c>
      <c r="D507" s="220" t="s">
        <v>239</v>
      </c>
      <c r="E507" s="220" t="s">
        <v>411</v>
      </c>
      <c r="F507" s="220" t="s">
        <v>314</v>
      </c>
      <c r="G507" s="222">
        <v>1000</v>
      </c>
      <c r="H507" s="222">
        <v>1000</v>
      </c>
      <c r="I507" s="222">
        <v>1000</v>
      </c>
      <c r="J507" s="214"/>
      <c r="K507" s="214"/>
      <c r="L507" s="214"/>
      <c r="M507" s="214"/>
      <c r="N507" s="214"/>
      <c r="O507" s="214"/>
      <c r="P507" s="214"/>
    </row>
    <row r="508" spans="1:16" ht="51">
      <c r="A508" s="220" t="s">
        <v>1360</v>
      </c>
      <c r="B508" s="220" t="s">
        <v>76</v>
      </c>
      <c r="C508" s="220" t="s">
        <v>4</v>
      </c>
      <c r="D508" s="220" t="s">
        <v>239</v>
      </c>
      <c r="E508" s="220" t="s">
        <v>1353</v>
      </c>
      <c r="F508" s="221"/>
      <c r="G508" s="222">
        <v>200</v>
      </c>
      <c r="H508" s="222">
        <v>0</v>
      </c>
      <c r="I508" s="222">
        <v>0</v>
      </c>
      <c r="J508" s="214"/>
      <c r="K508" s="214"/>
      <c r="L508" s="214"/>
      <c r="M508" s="214"/>
      <c r="N508" s="214"/>
      <c r="O508" s="214"/>
      <c r="P508" s="214"/>
    </row>
    <row r="509" spans="1:16">
      <c r="A509" s="220" t="s">
        <v>849</v>
      </c>
      <c r="B509" s="220" t="s">
        <v>76</v>
      </c>
      <c r="C509" s="220" t="s">
        <v>4</v>
      </c>
      <c r="D509" s="220" t="s">
        <v>239</v>
      </c>
      <c r="E509" s="220" t="s">
        <v>1353</v>
      </c>
      <c r="F509" s="220" t="s">
        <v>314</v>
      </c>
      <c r="G509" s="222">
        <v>200</v>
      </c>
      <c r="H509" s="222">
        <v>0</v>
      </c>
      <c r="I509" s="222">
        <v>0</v>
      </c>
      <c r="J509" s="214"/>
      <c r="K509" s="214"/>
      <c r="L509" s="214"/>
      <c r="M509" s="214"/>
      <c r="N509" s="214"/>
      <c r="O509" s="214"/>
      <c r="P509" s="214"/>
    </row>
    <row r="510" spans="1:16" ht="25.5">
      <c r="A510" s="220" t="s">
        <v>1385</v>
      </c>
      <c r="B510" s="220" t="s">
        <v>76</v>
      </c>
      <c r="C510" s="220" t="s">
        <v>4</v>
      </c>
      <c r="D510" s="220" t="s">
        <v>239</v>
      </c>
      <c r="E510" s="220" t="s">
        <v>1368</v>
      </c>
      <c r="F510" s="221"/>
      <c r="G510" s="222">
        <v>1400</v>
      </c>
      <c r="H510" s="222">
        <v>0</v>
      </c>
      <c r="I510" s="222">
        <v>0</v>
      </c>
      <c r="J510" s="214"/>
      <c r="K510" s="214"/>
      <c r="L510" s="214"/>
      <c r="M510" s="214"/>
      <c r="N510" s="214"/>
      <c r="O510" s="214"/>
      <c r="P510" s="214"/>
    </row>
    <row r="511" spans="1:16">
      <c r="A511" s="220" t="s">
        <v>849</v>
      </c>
      <c r="B511" s="220" t="s">
        <v>76</v>
      </c>
      <c r="C511" s="220" t="s">
        <v>4</v>
      </c>
      <c r="D511" s="220" t="s">
        <v>239</v>
      </c>
      <c r="E511" s="220" t="s">
        <v>1368</v>
      </c>
      <c r="F511" s="220" t="s">
        <v>314</v>
      </c>
      <c r="G511" s="222">
        <v>1400</v>
      </c>
      <c r="H511" s="222">
        <v>0</v>
      </c>
      <c r="I511" s="222">
        <v>0</v>
      </c>
      <c r="J511" s="214"/>
      <c r="K511" s="214"/>
      <c r="L511" s="214"/>
      <c r="M511" s="214"/>
      <c r="N511" s="214"/>
      <c r="O511" s="214"/>
      <c r="P511" s="214"/>
    </row>
    <row r="512" spans="1:16" ht="38.25">
      <c r="A512" s="220" t="s">
        <v>589</v>
      </c>
      <c r="B512" s="220" t="s">
        <v>76</v>
      </c>
      <c r="C512" s="220" t="s">
        <v>4</v>
      </c>
      <c r="D512" s="220" t="s">
        <v>239</v>
      </c>
      <c r="E512" s="220" t="s">
        <v>505</v>
      </c>
      <c r="F512" s="221"/>
      <c r="G512" s="222">
        <v>5114.2435699999996</v>
      </c>
      <c r="H512" s="222">
        <v>0</v>
      </c>
      <c r="I512" s="222">
        <v>0</v>
      </c>
      <c r="J512" s="214"/>
      <c r="K512" s="214"/>
      <c r="L512" s="214"/>
      <c r="M512" s="214"/>
      <c r="N512" s="214"/>
      <c r="O512" s="214"/>
      <c r="P512" s="214"/>
    </row>
    <row r="513" spans="1:16">
      <c r="A513" s="220" t="s">
        <v>574</v>
      </c>
      <c r="B513" s="220" t="s">
        <v>76</v>
      </c>
      <c r="C513" s="220" t="s">
        <v>4</v>
      </c>
      <c r="D513" s="220" t="s">
        <v>239</v>
      </c>
      <c r="E513" s="220" t="s">
        <v>506</v>
      </c>
      <c r="F513" s="221"/>
      <c r="G513" s="222">
        <v>5114.2435699999996</v>
      </c>
      <c r="H513" s="222">
        <v>0</v>
      </c>
      <c r="I513" s="222">
        <v>0</v>
      </c>
      <c r="J513" s="214"/>
      <c r="K513" s="214"/>
      <c r="L513" s="214"/>
      <c r="M513" s="214"/>
      <c r="N513" s="214"/>
      <c r="O513" s="214"/>
      <c r="P513" s="214"/>
    </row>
    <row r="514" spans="1:16" ht="25.5">
      <c r="A514" s="220" t="s">
        <v>1331</v>
      </c>
      <c r="B514" s="220" t="s">
        <v>76</v>
      </c>
      <c r="C514" s="220" t="s">
        <v>4</v>
      </c>
      <c r="D514" s="220" t="s">
        <v>239</v>
      </c>
      <c r="E514" s="220" t="s">
        <v>1323</v>
      </c>
      <c r="F514" s="221"/>
      <c r="G514" s="222">
        <v>5114.2435699999996</v>
      </c>
      <c r="H514" s="222">
        <v>0</v>
      </c>
      <c r="I514" s="222">
        <v>0</v>
      </c>
      <c r="J514" s="214"/>
      <c r="K514" s="214"/>
      <c r="L514" s="214"/>
      <c r="M514" s="214"/>
      <c r="N514" s="214"/>
      <c r="O514" s="214"/>
      <c r="P514" s="214"/>
    </row>
    <row r="515" spans="1:16" ht="38.25">
      <c r="A515" s="220" t="s">
        <v>833</v>
      </c>
      <c r="B515" s="220" t="s">
        <v>76</v>
      </c>
      <c r="C515" s="220" t="s">
        <v>4</v>
      </c>
      <c r="D515" s="220" t="s">
        <v>239</v>
      </c>
      <c r="E515" s="220" t="s">
        <v>1323</v>
      </c>
      <c r="F515" s="220" t="s">
        <v>313</v>
      </c>
      <c r="G515" s="222">
        <v>5114.2435699999996</v>
      </c>
      <c r="H515" s="222">
        <v>0</v>
      </c>
      <c r="I515" s="222">
        <v>0</v>
      </c>
      <c r="J515" s="214"/>
      <c r="K515" s="214"/>
      <c r="L515" s="214"/>
      <c r="M515" s="214"/>
      <c r="N515" s="214"/>
      <c r="O515" s="214"/>
      <c r="P515" s="214"/>
    </row>
    <row r="516" spans="1:16">
      <c r="A516" s="220" t="s">
        <v>1333</v>
      </c>
      <c r="B516" s="220" t="s">
        <v>76</v>
      </c>
      <c r="C516" s="220" t="s">
        <v>4</v>
      </c>
      <c r="D516" s="220" t="s">
        <v>237</v>
      </c>
      <c r="E516" s="221"/>
      <c r="F516" s="221"/>
      <c r="G516" s="222">
        <v>30</v>
      </c>
      <c r="H516" s="222">
        <v>0</v>
      </c>
      <c r="I516" s="222">
        <v>0</v>
      </c>
      <c r="J516" s="214"/>
      <c r="K516" s="214"/>
      <c r="L516" s="214"/>
      <c r="M516" s="214"/>
      <c r="N516" s="214"/>
      <c r="O516" s="214"/>
      <c r="P516" s="214"/>
    </row>
    <row r="517" spans="1:16" ht="63.75">
      <c r="A517" s="220" t="s">
        <v>565</v>
      </c>
      <c r="B517" s="220" t="s">
        <v>76</v>
      </c>
      <c r="C517" s="220" t="s">
        <v>4</v>
      </c>
      <c r="D517" s="220" t="s">
        <v>237</v>
      </c>
      <c r="E517" s="220" t="s">
        <v>401</v>
      </c>
      <c r="F517" s="221"/>
      <c r="G517" s="222">
        <v>30</v>
      </c>
      <c r="H517" s="222">
        <v>0</v>
      </c>
      <c r="I517" s="222">
        <v>0</v>
      </c>
      <c r="J517" s="214"/>
      <c r="K517" s="214"/>
      <c r="L517" s="214"/>
      <c r="M517" s="214"/>
      <c r="N517" s="214"/>
      <c r="O517" s="214"/>
      <c r="P517" s="214"/>
    </row>
    <row r="518" spans="1:16" ht="25.5">
      <c r="A518" s="220" t="s">
        <v>594</v>
      </c>
      <c r="B518" s="220" t="s">
        <v>76</v>
      </c>
      <c r="C518" s="220" t="s">
        <v>4</v>
      </c>
      <c r="D518" s="220" t="s">
        <v>237</v>
      </c>
      <c r="E518" s="220" t="s">
        <v>515</v>
      </c>
      <c r="F518" s="221"/>
      <c r="G518" s="222">
        <v>30</v>
      </c>
      <c r="H518" s="222">
        <v>0</v>
      </c>
      <c r="I518" s="222">
        <v>0</v>
      </c>
      <c r="J518" s="214"/>
      <c r="K518" s="214"/>
      <c r="L518" s="214"/>
      <c r="M518" s="214"/>
      <c r="N518" s="214"/>
      <c r="O518" s="214"/>
      <c r="P518" s="214"/>
    </row>
    <row r="519" spans="1:16" ht="25.5">
      <c r="A519" s="220" t="s">
        <v>1256</v>
      </c>
      <c r="B519" s="220" t="s">
        <v>76</v>
      </c>
      <c r="C519" s="220" t="s">
        <v>4</v>
      </c>
      <c r="D519" s="220" t="s">
        <v>237</v>
      </c>
      <c r="E519" s="220" t="s">
        <v>516</v>
      </c>
      <c r="F519" s="221"/>
      <c r="G519" s="222">
        <v>30</v>
      </c>
      <c r="H519" s="222">
        <v>0</v>
      </c>
      <c r="I519" s="222">
        <v>0</v>
      </c>
      <c r="J519" s="214"/>
      <c r="K519" s="214"/>
      <c r="L519" s="214"/>
      <c r="M519" s="214"/>
      <c r="N519" s="214"/>
      <c r="O519" s="214"/>
      <c r="P519" s="214"/>
    </row>
    <row r="520" spans="1:16" ht="25.5">
      <c r="A520" s="220" t="s">
        <v>1386</v>
      </c>
      <c r="B520" s="220" t="s">
        <v>76</v>
      </c>
      <c r="C520" s="220" t="s">
        <v>4</v>
      </c>
      <c r="D520" s="220" t="s">
        <v>237</v>
      </c>
      <c r="E520" s="220" t="s">
        <v>1370</v>
      </c>
      <c r="F520" s="221"/>
      <c r="G520" s="222">
        <v>30</v>
      </c>
      <c r="H520" s="222">
        <v>0</v>
      </c>
      <c r="I520" s="222">
        <v>0</v>
      </c>
      <c r="J520" s="214"/>
      <c r="K520" s="214"/>
      <c r="L520" s="214"/>
      <c r="M520" s="214"/>
      <c r="N520" s="214"/>
      <c r="O520" s="214"/>
      <c r="P520" s="214"/>
    </row>
    <row r="521" spans="1:16" ht="38.25">
      <c r="A521" s="220" t="s">
        <v>833</v>
      </c>
      <c r="B521" s="220" t="s">
        <v>76</v>
      </c>
      <c r="C521" s="220" t="s">
        <v>4</v>
      </c>
      <c r="D521" s="220" t="s">
        <v>237</v>
      </c>
      <c r="E521" s="220" t="s">
        <v>1370</v>
      </c>
      <c r="F521" s="220" t="s">
        <v>313</v>
      </c>
      <c r="G521" s="222">
        <v>30</v>
      </c>
      <c r="H521" s="222">
        <v>0</v>
      </c>
      <c r="I521" s="222">
        <v>0</v>
      </c>
      <c r="J521" s="214"/>
      <c r="K521" s="214"/>
      <c r="L521" s="214"/>
      <c r="M521" s="214"/>
      <c r="N521" s="214"/>
      <c r="O521" s="214"/>
      <c r="P521" s="214"/>
    </row>
    <row r="522" spans="1:16" ht="25.5">
      <c r="A522" s="220" t="s">
        <v>578</v>
      </c>
      <c r="B522" s="220" t="s">
        <v>76</v>
      </c>
      <c r="C522" s="220" t="s">
        <v>4</v>
      </c>
      <c r="D522" s="220" t="s">
        <v>4</v>
      </c>
      <c r="E522" s="221"/>
      <c r="F522" s="221"/>
      <c r="G522" s="222">
        <v>20.399999999999999</v>
      </c>
      <c r="H522" s="222">
        <v>20.399999999999999</v>
      </c>
      <c r="I522" s="222">
        <v>20.399999999999999</v>
      </c>
      <c r="J522" s="214"/>
      <c r="K522" s="214"/>
      <c r="L522" s="214"/>
      <c r="M522" s="214"/>
      <c r="N522" s="214"/>
      <c r="O522" s="214"/>
      <c r="P522" s="214"/>
    </row>
    <row r="523" spans="1:16" ht="38.25">
      <c r="A523" s="220" t="s">
        <v>568</v>
      </c>
      <c r="B523" s="220" t="s">
        <v>76</v>
      </c>
      <c r="C523" s="220" t="s">
        <v>4</v>
      </c>
      <c r="D523" s="220" t="s">
        <v>4</v>
      </c>
      <c r="E523" s="220" t="s">
        <v>434</v>
      </c>
      <c r="F523" s="221"/>
      <c r="G523" s="222">
        <v>20.399999999999999</v>
      </c>
      <c r="H523" s="222">
        <v>20.399999999999999</v>
      </c>
      <c r="I523" s="222">
        <v>20.399999999999999</v>
      </c>
      <c r="J523" s="214"/>
      <c r="K523" s="214"/>
      <c r="L523" s="214"/>
      <c r="M523" s="214"/>
      <c r="N523" s="214"/>
      <c r="O523" s="214"/>
      <c r="P523" s="214"/>
    </row>
    <row r="524" spans="1:16" ht="25.5">
      <c r="A524" s="220" t="s">
        <v>569</v>
      </c>
      <c r="B524" s="220" t="s">
        <v>76</v>
      </c>
      <c r="C524" s="220" t="s">
        <v>4</v>
      </c>
      <c r="D524" s="220" t="s">
        <v>4</v>
      </c>
      <c r="E524" s="220" t="s">
        <v>435</v>
      </c>
      <c r="F524" s="221"/>
      <c r="G524" s="222">
        <v>20.399999999999999</v>
      </c>
      <c r="H524" s="222">
        <v>20.399999999999999</v>
      </c>
      <c r="I524" s="222">
        <v>20.399999999999999</v>
      </c>
      <c r="J524" s="214"/>
      <c r="K524" s="214"/>
      <c r="L524" s="214"/>
      <c r="M524" s="214"/>
      <c r="N524" s="214"/>
      <c r="O524" s="214"/>
      <c r="P524" s="214"/>
    </row>
    <row r="525" spans="1:16" ht="63.75">
      <c r="A525" s="220" t="s">
        <v>1259</v>
      </c>
      <c r="B525" s="220" t="s">
        <v>76</v>
      </c>
      <c r="C525" s="220" t="s">
        <v>4</v>
      </c>
      <c r="D525" s="220" t="s">
        <v>4</v>
      </c>
      <c r="E525" s="220" t="s">
        <v>1170</v>
      </c>
      <c r="F525" s="221"/>
      <c r="G525" s="222">
        <v>20.399999999999999</v>
      </c>
      <c r="H525" s="222">
        <v>20.399999999999999</v>
      </c>
      <c r="I525" s="222">
        <v>20.399999999999999</v>
      </c>
      <c r="J525" s="214"/>
      <c r="K525" s="214"/>
      <c r="L525" s="214"/>
      <c r="M525" s="214"/>
      <c r="N525" s="214"/>
      <c r="O525" s="214"/>
      <c r="P525" s="214"/>
    </row>
    <row r="526" spans="1:16" ht="114.75">
      <c r="A526" s="220" t="s">
        <v>889</v>
      </c>
      <c r="B526" s="220" t="s">
        <v>76</v>
      </c>
      <c r="C526" s="220" t="s">
        <v>4</v>
      </c>
      <c r="D526" s="220" t="s">
        <v>4</v>
      </c>
      <c r="E526" s="220" t="s">
        <v>1173</v>
      </c>
      <c r="F526" s="221"/>
      <c r="G526" s="222">
        <v>20.399999999999999</v>
      </c>
      <c r="H526" s="222">
        <v>20.399999999999999</v>
      </c>
      <c r="I526" s="222">
        <v>20.399999999999999</v>
      </c>
      <c r="J526" s="214"/>
      <c r="K526" s="214"/>
      <c r="L526" s="214"/>
      <c r="M526" s="214"/>
      <c r="N526" s="214"/>
      <c r="O526" s="214"/>
      <c r="P526" s="214"/>
    </row>
    <row r="527" spans="1:16">
      <c r="A527" s="220" t="s">
        <v>849</v>
      </c>
      <c r="B527" s="220" t="s">
        <v>76</v>
      </c>
      <c r="C527" s="220" t="s">
        <v>4</v>
      </c>
      <c r="D527" s="220" t="s">
        <v>4</v>
      </c>
      <c r="E527" s="220" t="s">
        <v>1173</v>
      </c>
      <c r="F527" s="220" t="s">
        <v>314</v>
      </c>
      <c r="G527" s="222">
        <v>20.399999999999999</v>
      </c>
      <c r="H527" s="222">
        <v>20.399999999999999</v>
      </c>
      <c r="I527" s="222">
        <v>20.399999999999999</v>
      </c>
      <c r="J527" s="214"/>
      <c r="K527" s="214"/>
      <c r="L527" s="214"/>
      <c r="M527" s="214"/>
      <c r="N527" s="214"/>
      <c r="O527" s="214"/>
      <c r="P527" s="214"/>
    </row>
    <row r="528" spans="1:16">
      <c r="A528" s="220" t="s">
        <v>1387</v>
      </c>
      <c r="B528" s="220" t="s">
        <v>76</v>
      </c>
      <c r="C528" s="220" t="s">
        <v>243</v>
      </c>
      <c r="D528" s="221"/>
      <c r="E528" s="221"/>
      <c r="F528" s="221"/>
      <c r="G528" s="222">
        <v>233.41166999999999</v>
      </c>
      <c r="H528" s="222">
        <v>0</v>
      </c>
      <c r="I528" s="222">
        <v>0</v>
      </c>
      <c r="J528" s="214"/>
      <c r="K528" s="214"/>
      <c r="L528" s="214"/>
      <c r="M528" s="214"/>
      <c r="N528" s="214"/>
      <c r="O528" s="214"/>
      <c r="P528" s="214"/>
    </row>
    <row r="529" spans="1:16" ht="25.5">
      <c r="A529" s="220" t="s">
        <v>1388</v>
      </c>
      <c r="B529" s="220" t="s">
        <v>76</v>
      </c>
      <c r="C529" s="220" t="s">
        <v>243</v>
      </c>
      <c r="D529" s="220" t="s">
        <v>4</v>
      </c>
      <c r="E529" s="221"/>
      <c r="F529" s="221"/>
      <c r="G529" s="222">
        <v>233.41166999999999</v>
      </c>
      <c r="H529" s="222">
        <v>0</v>
      </c>
      <c r="I529" s="222">
        <v>0</v>
      </c>
      <c r="J529" s="214"/>
      <c r="K529" s="214"/>
      <c r="L529" s="214"/>
      <c r="M529" s="214"/>
      <c r="N529" s="214"/>
      <c r="O529" s="214"/>
      <c r="P529" s="214"/>
    </row>
    <row r="530" spans="1:16" ht="38.25">
      <c r="A530" s="220" t="s">
        <v>1389</v>
      </c>
      <c r="B530" s="220" t="s">
        <v>76</v>
      </c>
      <c r="C530" s="220" t="s">
        <v>243</v>
      </c>
      <c r="D530" s="220" t="s">
        <v>4</v>
      </c>
      <c r="E530" s="220" t="s">
        <v>1372</v>
      </c>
      <c r="F530" s="221"/>
      <c r="G530" s="222">
        <v>233.41166999999999</v>
      </c>
      <c r="H530" s="222">
        <v>0</v>
      </c>
      <c r="I530" s="222">
        <v>0</v>
      </c>
      <c r="J530" s="214"/>
      <c r="K530" s="214"/>
      <c r="L530" s="214"/>
      <c r="M530" s="214"/>
      <c r="N530" s="214"/>
      <c r="O530" s="214"/>
      <c r="P530" s="214"/>
    </row>
    <row r="531" spans="1:16" ht="63.75">
      <c r="A531" s="220" t="s">
        <v>1390</v>
      </c>
      <c r="B531" s="220" t="s">
        <v>76</v>
      </c>
      <c r="C531" s="220" t="s">
        <v>243</v>
      </c>
      <c r="D531" s="220" t="s">
        <v>4</v>
      </c>
      <c r="E531" s="220" t="s">
        <v>1374</v>
      </c>
      <c r="F531" s="221"/>
      <c r="G531" s="222">
        <v>233.41166999999999</v>
      </c>
      <c r="H531" s="222">
        <v>0</v>
      </c>
      <c r="I531" s="222">
        <v>0</v>
      </c>
      <c r="J531" s="214"/>
      <c r="K531" s="214"/>
      <c r="L531" s="214"/>
      <c r="M531" s="214"/>
      <c r="N531" s="214"/>
      <c r="O531" s="214"/>
      <c r="P531" s="214"/>
    </row>
    <row r="532" spans="1:16" ht="38.25">
      <c r="A532" s="220" t="s">
        <v>1391</v>
      </c>
      <c r="B532" s="220" t="s">
        <v>76</v>
      </c>
      <c r="C532" s="220" t="s">
        <v>243</v>
      </c>
      <c r="D532" s="220" t="s">
        <v>4</v>
      </c>
      <c r="E532" s="220" t="s">
        <v>1377</v>
      </c>
      <c r="F532" s="221"/>
      <c r="G532" s="222">
        <v>233.41166999999999</v>
      </c>
      <c r="H532" s="222">
        <v>0</v>
      </c>
      <c r="I532" s="222">
        <v>0</v>
      </c>
      <c r="J532" s="214"/>
      <c r="K532" s="214"/>
      <c r="L532" s="214"/>
      <c r="M532" s="214"/>
      <c r="N532" s="214"/>
      <c r="O532" s="214"/>
      <c r="P532" s="214"/>
    </row>
    <row r="533" spans="1:16" ht="38.25">
      <c r="A533" s="220" t="s">
        <v>833</v>
      </c>
      <c r="B533" s="220" t="s">
        <v>76</v>
      </c>
      <c r="C533" s="220" t="s">
        <v>243</v>
      </c>
      <c r="D533" s="220" t="s">
        <v>4</v>
      </c>
      <c r="E533" s="220" t="s">
        <v>1377</v>
      </c>
      <c r="F533" s="220" t="s">
        <v>313</v>
      </c>
      <c r="G533" s="222">
        <v>233.41166999999999</v>
      </c>
      <c r="H533" s="222">
        <v>0</v>
      </c>
      <c r="I533" s="222">
        <v>0</v>
      </c>
      <c r="J533" s="214"/>
      <c r="K533" s="214"/>
      <c r="L533" s="214"/>
      <c r="M533" s="214"/>
      <c r="N533" s="214"/>
      <c r="O533" s="214"/>
      <c r="P533" s="214"/>
    </row>
    <row r="534" spans="1:16">
      <c r="A534" s="220" t="s">
        <v>540</v>
      </c>
      <c r="B534" s="220" t="s">
        <v>76</v>
      </c>
      <c r="C534" s="220" t="s">
        <v>236</v>
      </c>
      <c r="D534" s="221"/>
      <c r="E534" s="221"/>
      <c r="F534" s="221"/>
      <c r="G534" s="222">
        <v>7682.7209999999995</v>
      </c>
      <c r="H534" s="222">
        <v>7404.0959999999995</v>
      </c>
      <c r="I534" s="222">
        <v>7404.0959999999995</v>
      </c>
      <c r="J534" s="214"/>
      <c r="K534" s="214"/>
      <c r="L534" s="214"/>
      <c r="M534" s="214"/>
      <c r="N534" s="214"/>
      <c r="O534" s="214"/>
      <c r="P534" s="214"/>
    </row>
    <row r="535" spans="1:16">
      <c r="A535" s="220" t="s">
        <v>556</v>
      </c>
      <c r="B535" s="220" t="s">
        <v>76</v>
      </c>
      <c r="C535" s="220" t="s">
        <v>236</v>
      </c>
      <c r="D535" s="220" t="s">
        <v>236</v>
      </c>
      <c r="E535" s="221"/>
      <c r="F535" s="221"/>
      <c r="G535" s="222">
        <v>7675.5209999999997</v>
      </c>
      <c r="H535" s="222">
        <v>7404.0959999999995</v>
      </c>
      <c r="I535" s="222">
        <v>7404.0959999999995</v>
      </c>
      <c r="J535" s="214"/>
      <c r="K535" s="214"/>
      <c r="L535" s="214"/>
      <c r="M535" s="214"/>
      <c r="N535" s="214"/>
      <c r="O535" s="214"/>
      <c r="P535" s="214"/>
    </row>
    <row r="536" spans="1:16" ht="51">
      <c r="A536" s="220" t="s">
        <v>1241</v>
      </c>
      <c r="B536" s="220" t="s">
        <v>76</v>
      </c>
      <c r="C536" s="220" t="s">
        <v>236</v>
      </c>
      <c r="D536" s="220" t="s">
        <v>236</v>
      </c>
      <c r="E536" s="220" t="s">
        <v>393</v>
      </c>
      <c r="F536" s="221"/>
      <c r="G536" s="222">
        <v>7675.5209999999997</v>
      </c>
      <c r="H536" s="222">
        <v>7404.0959999999995</v>
      </c>
      <c r="I536" s="222">
        <v>7404.0959999999995</v>
      </c>
      <c r="J536" s="214"/>
      <c r="K536" s="214"/>
      <c r="L536" s="214"/>
      <c r="M536" s="214"/>
      <c r="N536" s="214"/>
      <c r="O536" s="214"/>
      <c r="P536" s="214"/>
    </row>
    <row r="537" spans="1:16" ht="25.5">
      <c r="A537" s="220" t="s">
        <v>544</v>
      </c>
      <c r="B537" s="220" t="s">
        <v>76</v>
      </c>
      <c r="C537" s="220" t="s">
        <v>236</v>
      </c>
      <c r="D537" s="220" t="s">
        <v>236</v>
      </c>
      <c r="E537" s="220" t="s">
        <v>396</v>
      </c>
      <c r="F537" s="221"/>
      <c r="G537" s="222">
        <v>6215.5209999999997</v>
      </c>
      <c r="H537" s="222">
        <v>6204.0959999999995</v>
      </c>
      <c r="I537" s="222">
        <v>6204.0959999999995</v>
      </c>
      <c r="J537" s="214"/>
      <c r="K537" s="214"/>
      <c r="L537" s="214"/>
      <c r="M537" s="214"/>
      <c r="N537" s="214"/>
      <c r="O537" s="214"/>
      <c r="P537" s="214"/>
    </row>
    <row r="538" spans="1:16" ht="25.5">
      <c r="A538" s="220" t="s">
        <v>837</v>
      </c>
      <c r="B538" s="220" t="s">
        <v>76</v>
      </c>
      <c r="C538" s="220" t="s">
        <v>236</v>
      </c>
      <c r="D538" s="220" t="s">
        <v>236</v>
      </c>
      <c r="E538" s="220" t="s">
        <v>1126</v>
      </c>
      <c r="F538" s="221"/>
      <c r="G538" s="222">
        <v>6215.5209999999997</v>
      </c>
      <c r="H538" s="222">
        <v>6204.0959999999995</v>
      </c>
      <c r="I538" s="222">
        <v>6204.0959999999995</v>
      </c>
      <c r="J538" s="214"/>
      <c r="K538" s="214"/>
      <c r="L538" s="214"/>
      <c r="M538" s="214"/>
      <c r="N538" s="214"/>
      <c r="O538" s="214"/>
      <c r="P538" s="214"/>
    </row>
    <row r="539" spans="1:16" ht="25.5">
      <c r="A539" s="220" t="s">
        <v>970</v>
      </c>
      <c r="B539" s="220" t="s">
        <v>76</v>
      </c>
      <c r="C539" s="220" t="s">
        <v>236</v>
      </c>
      <c r="D539" s="220" t="s">
        <v>236</v>
      </c>
      <c r="E539" s="220" t="s">
        <v>1127</v>
      </c>
      <c r="F539" s="221"/>
      <c r="G539" s="222">
        <v>595.73800000000006</v>
      </c>
      <c r="H539" s="222">
        <v>595.73800000000006</v>
      </c>
      <c r="I539" s="222">
        <v>595.73800000000006</v>
      </c>
      <c r="J539" s="214"/>
      <c r="K539" s="214"/>
      <c r="L539" s="214"/>
      <c r="M539" s="214"/>
      <c r="N539" s="214"/>
      <c r="O539" s="214"/>
      <c r="P539" s="214"/>
    </row>
    <row r="540" spans="1:16" ht="38.25">
      <c r="A540" s="220" t="s">
        <v>830</v>
      </c>
      <c r="B540" s="220" t="s">
        <v>76</v>
      </c>
      <c r="C540" s="220" t="s">
        <v>236</v>
      </c>
      <c r="D540" s="220" t="s">
        <v>236</v>
      </c>
      <c r="E540" s="220" t="s">
        <v>1127</v>
      </c>
      <c r="F540" s="220" t="s">
        <v>315</v>
      </c>
      <c r="G540" s="222">
        <v>595.73800000000006</v>
      </c>
      <c r="H540" s="222">
        <v>595.73800000000006</v>
      </c>
      <c r="I540" s="222">
        <v>595.73800000000006</v>
      </c>
      <c r="J540" s="214"/>
      <c r="K540" s="214"/>
      <c r="L540" s="214"/>
      <c r="M540" s="214"/>
      <c r="N540" s="214"/>
      <c r="O540" s="214"/>
      <c r="P540" s="214"/>
    </row>
    <row r="541" spans="1:16" ht="63.75">
      <c r="A541" s="220" t="s">
        <v>1273</v>
      </c>
      <c r="B541" s="220" t="s">
        <v>76</v>
      </c>
      <c r="C541" s="220" t="s">
        <v>236</v>
      </c>
      <c r="D541" s="220" t="s">
        <v>236</v>
      </c>
      <c r="E541" s="220" t="s">
        <v>1129</v>
      </c>
      <c r="F541" s="221"/>
      <c r="G541" s="222">
        <v>4515.3329999999996</v>
      </c>
      <c r="H541" s="222">
        <v>4503.9080000000004</v>
      </c>
      <c r="I541" s="222">
        <v>4503.9080000000004</v>
      </c>
      <c r="J541" s="214"/>
      <c r="K541" s="214"/>
      <c r="L541" s="214"/>
      <c r="M541" s="214"/>
      <c r="N541" s="214"/>
      <c r="O541" s="214"/>
      <c r="P541" s="214"/>
    </row>
    <row r="542" spans="1:16" ht="38.25">
      <c r="A542" s="220" t="s">
        <v>830</v>
      </c>
      <c r="B542" s="220" t="s">
        <v>76</v>
      </c>
      <c r="C542" s="220" t="s">
        <v>236</v>
      </c>
      <c r="D542" s="220" t="s">
        <v>236</v>
      </c>
      <c r="E542" s="220" t="s">
        <v>1129</v>
      </c>
      <c r="F542" s="220" t="s">
        <v>315</v>
      </c>
      <c r="G542" s="222">
        <v>4515.3329999999996</v>
      </c>
      <c r="H542" s="222">
        <v>4503.9080000000004</v>
      </c>
      <c r="I542" s="222">
        <v>4503.9080000000004</v>
      </c>
      <c r="J542" s="214"/>
      <c r="K542" s="214"/>
      <c r="L542" s="214"/>
      <c r="M542" s="214"/>
      <c r="N542" s="214"/>
      <c r="O542" s="214"/>
      <c r="P542" s="214"/>
    </row>
    <row r="543" spans="1:16" ht="25.5">
      <c r="A543" s="220" t="s">
        <v>918</v>
      </c>
      <c r="B543" s="220" t="s">
        <v>76</v>
      </c>
      <c r="C543" s="220" t="s">
        <v>236</v>
      </c>
      <c r="D543" s="220" t="s">
        <v>236</v>
      </c>
      <c r="E543" s="220" t="s">
        <v>1130</v>
      </c>
      <c r="F543" s="221"/>
      <c r="G543" s="222">
        <v>158.5</v>
      </c>
      <c r="H543" s="222">
        <v>158.5</v>
      </c>
      <c r="I543" s="222">
        <v>158.5</v>
      </c>
      <c r="J543" s="214"/>
      <c r="K543" s="214"/>
      <c r="L543" s="214"/>
      <c r="M543" s="214"/>
      <c r="N543" s="214"/>
      <c r="O543" s="214"/>
      <c r="P543" s="214"/>
    </row>
    <row r="544" spans="1:16" ht="38.25">
      <c r="A544" s="220" t="s">
        <v>830</v>
      </c>
      <c r="B544" s="220" t="s">
        <v>76</v>
      </c>
      <c r="C544" s="220" t="s">
        <v>236</v>
      </c>
      <c r="D544" s="220" t="s">
        <v>236</v>
      </c>
      <c r="E544" s="220" t="s">
        <v>1130</v>
      </c>
      <c r="F544" s="220" t="s">
        <v>315</v>
      </c>
      <c r="G544" s="222">
        <v>158.5</v>
      </c>
      <c r="H544" s="222">
        <v>158.5</v>
      </c>
      <c r="I544" s="222">
        <v>158.5</v>
      </c>
      <c r="J544" s="214"/>
      <c r="K544" s="214"/>
      <c r="L544" s="214"/>
      <c r="M544" s="214"/>
      <c r="N544" s="214"/>
      <c r="O544" s="214"/>
      <c r="P544" s="214"/>
    </row>
    <row r="545" spans="1:16" ht="51">
      <c r="A545" s="220" t="s">
        <v>1017</v>
      </c>
      <c r="B545" s="220" t="s">
        <v>76</v>
      </c>
      <c r="C545" s="220" t="s">
        <v>236</v>
      </c>
      <c r="D545" s="220" t="s">
        <v>236</v>
      </c>
      <c r="E545" s="220" t="s">
        <v>1132</v>
      </c>
      <c r="F545" s="221"/>
      <c r="G545" s="222">
        <v>945.95</v>
      </c>
      <c r="H545" s="222">
        <v>945.95</v>
      </c>
      <c r="I545" s="222">
        <v>945.95</v>
      </c>
      <c r="J545" s="214"/>
      <c r="K545" s="214"/>
      <c r="L545" s="214"/>
      <c r="M545" s="214"/>
      <c r="N545" s="214"/>
      <c r="O545" s="214"/>
      <c r="P545" s="214"/>
    </row>
    <row r="546" spans="1:16" ht="38.25">
      <c r="A546" s="220" t="s">
        <v>830</v>
      </c>
      <c r="B546" s="220" t="s">
        <v>76</v>
      </c>
      <c r="C546" s="220" t="s">
        <v>236</v>
      </c>
      <c r="D546" s="220" t="s">
        <v>236</v>
      </c>
      <c r="E546" s="220" t="s">
        <v>1132</v>
      </c>
      <c r="F546" s="220" t="s">
        <v>315</v>
      </c>
      <c r="G546" s="222">
        <v>945.95</v>
      </c>
      <c r="H546" s="222">
        <v>945.95</v>
      </c>
      <c r="I546" s="222">
        <v>945.95</v>
      </c>
      <c r="J546" s="214"/>
      <c r="K546" s="214"/>
      <c r="L546" s="214"/>
      <c r="M546" s="214"/>
      <c r="N546" s="214"/>
      <c r="O546" s="214"/>
      <c r="P546" s="214"/>
    </row>
    <row r="547" spans="1:16" ht="25.5">
      <c r="A547" s="220" t="s">
        <v>1274</v>
      </c>
      <c r="B547" s="220" t="s">
        <v>76</v>
      </c>
      <c r="C547" s="220" t="s">
        <v>236</v>
      </c>
      <c r="D547" s="220" t="s">
        <v>236</v>
      </c>
      <c r="E547" s="220" t="s">
        <v>398</v>
      </c>
      <c r="F547" s="221"/>
      <c r="G547" s="222">
        <v>1460</v>
      </c>
      <c r="H547" s="222">
        <v>1200</v>
      </c>
      <c r="I547" s="222">
        <v>1200</v>
      </c>
      <c r="J547" s="214"/>
      <c r="K547" s="214"/>
      <c r="L547" s="214"/>
      <c r="M547" s="214"/>
      <c r="N547" s="214"/>
      <c r="O547" s="214"/>
      <c r="P547" s="214"/>
    </row>
    <row r="548" spans="1:16" ht="25.5">
      <c r="A548" s="220" t="s">
        <v>1275</v>
      </c>
      <c r="B548" s="220" t="s">
        <v>76</v>
      </c>
      <c r="C548" s="220" t="s">
        <v>236</v>
      </c>
      <c r="D548" s="220" t="s">
        <v>236</v>
      </c>
      <c r="E548" s="220" t="s">
        <v>399</v>
      </c>
      <c r="F548" s="221"/>
      <c r="G548" s="222">
        <v>1460</v>
      </c>
      <c r="H548" s="222">
        <v>1200</v>
      </c>
      <c r="I548" s="222">
        <v>1200</v>
      </c>
      <c r="J548" s="214"/>
      <c r="K548" s="214"/>
      <c r="L548" s="214"/>
      <c r="M548" s="214"/>
      <c r="N548" s="214"/>
      <c r="O548" s="214"/>
      <c r="P548" s="214"/>
    </row>
    <row r="549" spans="1:16" ht="38.25">
      <c r="A549" s="220" t="s">
        <v>860</v>
      </c>
      <c r="B549" s="220" t="s">
        <v>76</v>
      </c>
      <c r="C549" s="220" t="s">
        <v>236</v>
      </c>
      <c r="D549" s="220" t="s">
        <v>236</v>
      </c>
      <c r="E549" s="220" t="s">
        <v>400</v>
      </c>
      <c r="F549" s="221"/>
      <c r="G549" s="222">
        <v>1200</v>
      </c>
      <c r="H549" s="222">
        <v>1200</v>
      </c>
      <c r="I549" s="222">
        <v>1200</v>
      </c>
      <c r="J549" s="214"/>
      <c r="K549" s="214"/>
      <c r="L549" s="214"/>
      <c r="M549" s="214"/>
      <c r="N549" s="214"/>
      <c r="O549" s="214"/>
      <c r="P549" s="214"/>
    </row>
    <row r="550" spans="1:16" ht="38.25">
      <c r="A550" s="220" t="s">
        <v>830</v>
      </c>
      <c r="B550" s="220" t="s">
        <v>76</v>
      </c>
      <c r="C550" s="220" t="s">
        <v>236</v>
      </c>
      <c r="D550" s="220" t="s">
        <v>236</v>
      </c>
      <c r="E550" s="220" t="s">
        <v>400</v>
      </c>
      <c r="F550" s="220" t="s">
        <v>315</v>
      </c>
      <c r="G550" s="222">
        <v>1200</v>
      </c>
      <c r="H550" s="222">
        <v>1200</v>
      </c>
      <c r="I550" s="222">
        <v>1200</v>
      </c>
      <c r="J550" s="214"/>
      <c r="K550" s="214"/>
      <c r="L550" s="214"/>
      <c r="M550" s="214"/>
      <c r="N550" s="214"/>
      <c r="O550" s="214"/>
      <c r="P550" s="214"/>
    </row>
    <row r="551" spans="1:16" ht="25.5">
      <c r="A551" s="220" t="s">
        <v>1361</v>
      </c>
      <c r="B551" s="220" t="s">
        <v>76</v>
      </c>
      <c r="C551" s="220" t="s">
        <v>236</v>
      </c>
      <c r="D551" s="220" t="s">
        <v>236</v>
      </c>
      <c r="E551" s="220" t="s">
        <v>1351</v>
      </c>
      <c r="F551" s="221"/>
      <c r="G551" s="222">
        <v>260</v>
      </c>
      <c r="H551" s="222">
        <v>0</v>
      </c>
      <c r="I551" s="222">
        <v>0</v>
      </c>
      <c r="J551" s="214"/>
      <c r="K551" s="214"/>
      <c r="L551" s="214"/>
      <c r="M551" s="214"/>
      <c r="N551" s="214"/>
      <c r="O551" s="214"/>
      <c r="P551" s="214"/>
    </row>
    <row r="552" spans="1:16" ht="38.25">
      <c r="A552" s="220" t="s">
        <v>830</v>
      </c>
      <c r="B552" s="220" t="s">
        <v>76</v>
      </c>
      <c r="C552" s="220" t="s">
        <v>236</v>
      </c>
      <c r="D552" s="220" t="s">
        <v>236</v>
      </c>
      <c r="E552" s="220" t="s">
        <v>1351</v>
      </c>
      <c r="F552" s="220" t="s">
        <v>315</v>
      </c>
      <c r="G552" s="222">
        <v>260</v>
      </c>
      <c r="H552" s="222">
        <v>0</v>
      </c>
      <c r="I552" s="222">
        <v>0</v>
      </c>
      <c r="J552" s="214"/>
      <c r="K552" s="214"/>
      <c r="L552" s="214"/>
      <c r="M552" s="214"/>
      <c r="N552" s="214"/>
      <c r="O552" s="214"/>
      <c r="P552" s="214"/>
    </row>
    <row r="553" spans="1:16">
      <c r="A553" s="220" t="s">
        <v>557</v>
      </c>
      <c r="B553" s="220" t="s">
        <v>76</v>
      </c>
      <c r="C553" s="220" t="s">
        <v>236</v>
      </c>
      <c r="D553" s="220" t="s">
        <v>240</v>
      </c>
      <c r="E553" s="221"/>
      <c r="F553" s="221"/>
      <c r="G553" s="222">
        <v>7.2</v>
      </c>
      <c r="H553" s="222">
        <v>0</v>
      </c>
      <c r="I553" s="222">
        <v>0</v>
      </c>
      <c r="J553" s="214"/>
      <c r="K553" s="214"/>
      <c r="L553" s="214"/>
      <c r="M553" s="214"/>
      <c r="N553" s="214"/>
      <c r="O553" s="214"/>
      <c r="P553" s="214"/>
    </row>
    <row r="554" spans="1:16" ht="51">
      <c r="A554" s="220" t="s">
        <v>1241</v>
      </c>
      <c r="B554" s="220" t="s">
        <v>76</v>
      </c>
      <c r="C554" s="220" t="s">
        <v>236</v>
      </c>
      <c r="D554" s="220" t="s">
        <v>240</v>
      </c>
      <c r="E554" s="220" t="s">
        <v>393</v>
      </c>
      <c r="F554" s="221"/>
      <c r="G554" s="222">
        <v>7.2</v>
      </c>
      <c r="H554" s="222">
        <v>0</v>
      </c>
      <c r="I554" s="222">
        <v>0</v>
      </c>
      <c r="J554" s="214"/>
      <c r="K554" s="214"/>
      <c r="L554" s="214"/>
      <c r="M554" s="214"/>
      <c r="N554" s="214"/>
      <c r="O554" s="214"/>
      <c r="P554" s="214"/>
    </row>
    <row r="555" spans="1:16" ht="38.25">
      <c r="A555" s="220" t="s">
        <v>1243</v>
      </c>
      <c r="B555" s="220" t="s">
        <v>76</v>
      </c>
      <c r="C555" s="220" t="s">
        <v>236</v>
      </c>
      <c r="D555" s="220" t="s">
        <v>240</v>
      </c>
      <c r="E555" s="220" t="s">
        <v>394</v>
      </c>
      <c r="F555" s="221"/>
      <c r="G555" s="222">
        <v>7.2</v>
      </c>
      <c r="H555" s="222">
        <v>0</v>
      </c>
      <c r="I555" s="222">
        <v>0</v>
      </c>
      <c r="J555" s="214"/>
      <c r="K555" s="214"/>
      <c r="L555" s="214"/>
      <c r="M555" s="214"/>
      <c r="N555" s="214"/>
      <c r="O555" s="214"/>
      <c r="P555" s="214"/>
    </row>
    <row r="556" spans="1:16" ht="51">
      <c r="A556" s="220" t="s">
        <v>1244</v>
      </c>
      <c r="B556" s="220" t="s">
        <v>76</v>
      </c>
      <c r="C556" s="220" t="s">
        <v>236</v>
      </c>
      <c r="D556" s="220" t="s">
        <v>240</v>
      </c>
      <c r="E556" s="220" t="s">
        <v>395</v>
      </c>
      <c r="F556" s="221"/>
      <c r="G556" s="222">
        <v>7.2</v>
      </c>
      <c r="H556" s="222">
        <v>0</v>
      </c>
      <c r="I556" s="222">
        <v>0</v>
      </c>
      <c r="J556" s="214"/>
      <c r="K556" s="214"/>
      <c r="L556" s="214"/>
      <c r="M556" s="214"/>
      <c r="N556" s="214"/>
      <c r="O556" s="214"/>
      <c r="P556" s="214"/>
    </row>
    <row r="557" spans="1:16" ht="38.25">
      <c r="A557" s="220" t="s">
        <v>1392</v>
      </c>
      <c r="B557" s="220" t="s">
        <v>76</v>
      </c>
      <c r="C557" s="220" t="s">
        <v>236</v>
      </c>
      <c r="D557" s="220" t="s">
        <v>240</v>
      </c>
      <c r="E557" s="220" t="s">
        <v>1366</v>
      </c>
      <c r="F557" s="221"/>
      <c r="G557" s="222">
        <v>7.2</v>
      </c>
      <c r="H557" s="222">
        <v>0</v>
      </c>
      <c r="I557" s="222">
        <v>0</v>
      </c>
      <c r="J557" s="214"/>
      <c r="K557" s="214"/>
      <c r="L557" s="214"/>
      <c r="M557" s="214"/>
      <c r="N557" s="214"/>
      <c r="O557" s="214"/>
      <c r="P557" s="214"/>
    </row>
    <row r="558" spans="1:16" ht="25.5">
      <c r="A558" s="220" t="s">
        <v>845</v>
      </c>
      <c r="B558" s="220" t="s">
        <v>76</v>
      </c>
      <c r="C558" s="220" t="s">
        <v>236</v>
      </c>
      <c r="D558" s="220" t="s">
        <v>240</v>
      </c>
      <c r="E558" s="220" t="s">
        <v>1366</v>
      </c>
      <c r="F558" s="220" t="s">
        <v>318</v>
      </c>
      <c r="G558" s="222">
        <v>7.2</v>
      </c>
      <c r="H558" s="222">
        <v>0</v>
      </c>
      <c r="I558" s="222">
        <v>0</v>
      </c>
      <c r="J558" s="214"/>
      <c r="K558" s="214"/>
      <c r="L558" s="214"/>
      <c r="M558" s="214"/>
      <c r="N558" s="214"/>
      <c r="O558" s="214"/>
      <c r="P558" s="214"/>
    </row>
    <row r="559" spans="1:16">
      <c r="A559" s="220" t="s">
        <v>558</v>
      </c>
      <c r="B559" s="220" t="s">
        <v>76</v>
      </c>
      <c r="C559" s="220" t="s">
        <v>242</v>
      </c>
      <c r="D559" s="221"/>
      <c r="E559" s="221"/>
      <c r="F559" s="221"/>
      <c r="G559" s="222">
        <v>9313.8279999999995</v>
      </c>
      <c r="H559" s="222">
        <v>13531.656000000001</v>
      </c>
      <c r="I559" s="222">
        <v>12458.199000000001</v>
      </c>
      <c r="J559" s="214"/>
      <c r="K559" s="214"/>
      <c r="L559" s="214"/>
      <c r="M559" s="214"/>
      <c r="N559" s="214"/>
      <c r="O559" s="214"/>
      <c r="P559" s="214"/>
    </row>
    <row r="560" spans="1:16">
      <c r="A560" s="220" t="s">
        <v>595</v>
      </c>
      <c r="B560" s="220" t="s">
        <v>76</v>
      </c>
      <c r="C560" s="220" t="s">
        <v>242</v>
      </c>
      <c r="D560" s="220" t="s">
        <v>239</v>
      </c>
      <c r="E560" s="221"/>
      <c r="F560" s="221"/>
      <c r="G560" s="222">
        <v>2640</v>
      </c>
      <c r="H560" s="222">
        <v>2640</v>
      </c>
      <c r="I560" s="222">
        <v>2640</v>
      </c>
      <c r="J560" s="214"/>
      <c r="K560" s="214"/>
      <c r="L560" s="214"/>
      <c r="M560" s="214"/>
      <c r="N560" s="214"/>
      <c r="O560" s="214"/>
      <c r="P560" s="214"/>
    </row>
    <row r="561" spans="1:16" ht="63.75">
      <c r="A561" s="220" t="s">
        <v>1276</v>
      </c>
      <c r="B561" s="220" t="s">
        <v>76</v>
      </c>
      <c r="C561" s="220" t="s">
        <v>242</v>
      </c>
      <c r="D561" s="220" t="s">
        <v>239</v>
      </c>
      <c r="E561" s="220" t="s">
        <v>1224</v>
      </c>
      <c r="F561" s="221"/>
      <c r="G561" s="222">
        <v>2640</v>
      </c>
      <c r="H561" s="222">
        <v>2640</v>
      </c>
      <c r="I561" s="222">
        <v>2640</v>
      </c>
      <c r="J561" s="214"/>
      <c r="K561" s="214"/>
      <c r="L561" s="214"/>
      <c r="M561" s="214"/>
      <c r="N561" s="214"/>
      <c r="O561" s="214"/>
      <c r="P561" s="214"/>
    </row>
    <row r="562" spans="1:16">
      <c r="A562" s="220" t="s">
        <v>574</v>
      </c>
      <c r="B562" s="220" t="s">
        <v>76</v>
      </c>
      <c r="C562" s="220" t="s">
        <v>242</v>
      </c>
      <c r="D562" s="220" t="s">
        <v>239</v>
      </c>
      <c r="E562" s="220" t="s">
        <v>1225</v>
      </c>
      <c r="F562" s="221"/>
      <c r="G562" s="222">
        <v>2640</v>
      </c>
      <c r="H562" s="222">
        <v>2640</v>
      </c>
      <c r="I562" s="222">
        <v>2640</v>
      </c>
      <c r="J562" s="214"/>
      <c r="K562" s="214"/>
      <c r="L562" s="214"/>
      <c r="M562" s="214"/>
      <c r="N562" s="214"/>
      <c r="O562" s="214"/>
      <c r="P562" s="214"/>
    </row>
    <row r="563" spans="1:16" ht="63.75">
      <c r="A563" s="220" t="s">
        <v>906</v>
      </c>
      <c r="B563" s="220" t="s">
        <v>76</v>
      </c>
      <c r="C563" s="220" t="s">
        <v>242</v>
      </c>
      <c r="D563" s="220" t="s">
        <v>239</v>
      </c>
      <c r="E563" s="220" t="s">
        <v>1226</v>
      </c>
      <c r="F563" s="221"/>
      <c r="G563" s="222">
        <v>2640</v>
      </c>
      <c r="H563" s="222">
        <v>2640</v>
      </c>
      <c r="I563" s="222">
        <v>2640</v>
      </c>
      <c r="J563" s="214"/>
      <c r="K563" s="214"/>
      <c r="L563" s="214"/>
      <c r="M563" s="214"/>
      <c r="N563" s="214"/>
      <c r="O563" s="214"/>
      <c r="P563" s="214"/>
    </row>
    <row r="564" spans="1:16" ht="25.5">
      <c r="A564" s="220" t="s">
        <v>845</v>
      </c>
      <c r="B564" s="220" t="s">
        <v>76</v>
      </c>
      <c r="C564" s="220" t="s">
        <v>242</v>
      </c>
      <c r="D564" s="220" t="s">
        <v>239</v>
      </c>
      <c r="E564" s="220" t="s">
        <v>1226</v>
      </c>
      <c r="F564" s="220" t="s">
        <v>318</v>
      </c>
      <c r="G564" s="222">
        <v>2640</v>
      </c>
      <c r="H564" s="222">
        <v>2640</v>
      </c>
      <c r="I564" s="222">
        <v>2640</v>
      </c>
      <c r="J564" s="214"/>
      <c r="K564" s="214"/>
      <c r="L564" s="214"/>
      <c r="M564" s="214"/>
      <c r="N564" s="214"/>
      <c r="O564" s="214"/>
      <c r="P564" s="214"/>
    </row>
    <row r="565" spans="1:16">
      <c r="A565" s="220" t="s">
        <v>579</v>
      </c>
      <c r="B565" s="220" t="s">
        <v>76</v>
      </c>
      <c r="C565" s="220" t="s">
        <v>242</v>
      </c>
      <c r="D565" s="220" t="s">
        <v>241</v>
      </c>
      <c r="E565" s="221"/>
      <c r="F565" s="221"/>
      <c r="G565" s="222">
        <v>1532</v>
      </c>
      <c r="H565" s="222">
        <v>1532</v>
      </c>
      <c r="I565" s="222">
        <v>1532</v>
      </c>
      <c r="J565" s="214"/>
      <c r="K565" s="214"/>
      <c r="L565" s="214"/>
      <c r="M565" s="214"/>
      <c r="N565" s="214"/>
      <c r="O565" s="214"/>
      <c r="P565" s="214"/>
    </row>
    <row r="566" spans="1:16" ht="51">
      <c r="A566" s="220" t="s">
        <v>1241</v>
      </c>
      <c r="B566" s="220" t="s">
        <v>76</v>
      </c>
      <c r="C566" s="220" t="s">
        <v>242</v>
      </c>
      <c r="D566" s="220" t="s">
        <v>241</v>
      </c>
      <c r="E566" s="220" t="s">
        <v>393</v>
      </c>
      <c r="F566" s="221"/>
      <c r="G566" s="222">
        <v>100</v>
      </c>
      <c r="H566" s="222">
        <v>100</v>
      </c>
      <c r="I566" s="222">
        <v>100</v>
      </c>
      <c r="J566" s="214"/>
      <c r="K566" s="214"/>
      <c r="L566" s="214"/>
      <c r="M566" s="214"/>
      <c r="N566" s="214"/>
      <c r="O566" s="214"/>
      <c r="P566" s="214"/>
    </row>
    <row r="567" spans="1:16" ht="38.25">
      <c r="A567" s="220" t="s">
        <v>1243</v>
      </c>
      <c r="B567" s="220" t="s">
        <v>76</v>
      </c>
      <c r="C567" s="220" t="s">
        <v>242</v>
      </c>
      <c r="D567" s="220" t="s">
        <v>241</v>
      </c>
      <c r="E567" s="220" t="s">
        <v>394</v>
      </c>
      <c r="F567" s="221"/>
      <c r="G567" s="222">
        <v>100</v>
      </c>
      <c r="H567" s="222">
        <v>100</v>
      </c>
      <c r="I567" s="222">
        <v>100</v>
      </c>
      <c r="J567" s="214"/>
      <c r="K567" s="214"/>
      <c r="L567" s="214"/>
      <c r="M567" s="214"/>
      <c r="N567" s="214"/>
      <c r="O567" s="214"/>
      <c r="P567" s="214"/>
    </row>
    <row r="568" spans="1:16" ht="38.25">
      <c r="A568" s="220" t="s">
        <v>905</v>
      </c>
      <c r="B568" s="220" t="s">
        <v>76</v>
      </c>
      <c r="C568" s="220" t="s">
        <v>242</v>
      </c>
      <c r="D568" s="220" t="s">
        <v>241</v>
      </c>
      <c r="E568" s="220" t="s">
        <v>1121</v>
      </c>
      <c r="F568" s="221"/>
      <c r="G568" s="222">
        <v>100</v>
      </c>
      <c r="H568" s="222">
        <v>100</v>
      </c>
      <c r="I568" s="222">
        <v>100</v>
      </c>
      <c r="J568" s="214"/>
      <c r="K568" s="214"/>
      <c r="L568" s="214"/>
      <c r="M568" s="214"/>
      <c r="N568" s="214"/>
      <c r="O568" s="214"/>
      <c r="P568" s="214"/>
    </row>
    <row r="569" spans="1:16" ht="38.25">
      <c r="A569" s="220" t="s">
        <v>919</v>
      </c>
      <c r="B569" s="220" t="s">
        <v>76</v>
      </c>
      <c r="C569" s="220" t="s">
        <v>242</v>
      </c>
      <c r="D569" s="220" t="s">
        <v>241</v>
      </c>
      <c r="E569" s="220" t="s">
        <v>1122</v>
      </c>
      <c r="F569" s="221"/>
      <c r="G569" s="222">
        <v>100</v>
      </c>
      <c r="H569" s="222">
        <v>100</v>
      </c>
      <c r="I569" s="222">
        <v>100</v>
      </c>
      <c r="J569" s="214"/>
      <c r="K569" s="214"/>
      <c r="L569" s="214"/>
      <c r="M569" s="214"/>
      <c r="N569" s="214"/>
      <c r="O569" s="214"/>
      <c r="P569" s="214"/>
    </row>
    <row r="570" spans="1:16" ht="25.5">
      <c r="A570" s="220" t="s">
        <v>845</v>
      </c>
      <c r="B570" s="220" t="s">
        <v>76</v>
      </c>
      <c r="C570" s="220" t="s">
        <v>242</v>
      </c>
      <c r="D570" s="220" t="s">
        <v>241</v>
      </c>
      <c r="E570" s="220" t="s">
        <v>1122</v>
      </c>
      <c r="F570" s="220" t="s">
        <v>318</v>
      </c>
      <c r="G570" s="222">
        <v>100</v>
      </c>
      <c r="H570" s="222">
        <v>100</v>
      </c>
      <c r="I570" s="222">
        <v>100</v>
      </c>
      <c r="J570" s="214"/>
      <c r="K570" s="214"/>
      <c r="L570" s="214"/>
      <c r="M570" s="214"/>
      <c r="N570" s="214"/>
      <c r="O570" s="214"/>
      <c r="P570" s="214"/>
    </row>
    <row r="571" spans="1:16" ht="63.75">
      <c r="A571" s="220" t="s">
        <v>565</v>
      </c>
      <c r="B571" s="220" t="s">
        <v>76</v>
      </c>
      <c r="C571" s="220" t="s">
        <v>242</v>
      </c>
      <c r="D571" s="220" t="s">
        <v>241</v>
      </c>
      <c r="E571" s="220" t="s">
        <v>401</v>
      </c>
      <c r="F571" s="221"/>
      <c r="G571" s="222">
        <v>449</v>
      </c>
      <c r="H571" s="222">
        <v>449</v>
      </c>
      <c r="I571" s="222">
        <v>449</v>
      </c>
      <c r="J571" s="214"/>
      <c r="K571" s="214"/>
      <c r="L571" s="214"/>
      <c r="M571" s="214"/>
      <c r="N571" s="214"/>
      <c r="O571" s="214"/>
      <c r="P571" s="214"/>
    </row>
    <row r="572" spans="1:16" ht="38.25">
      <c r="A572" s="220" t="s">
        <v>580</v>
      </c>
      <c r="B572" s="220" t="s">
        <v>76</v>
      </c>
      <c r="C572" s="220" t="s">
        <v>242</v>
      </c>
      <c r="D572" s="220" t="s">
        <v>241</v>
      </c>
      <c r="E572" s="220" t="s">
        <v>527</v>
      </c>
      <c r="F572" s="221"/>
      <c r="G572" s="222">
        <v>125</v>
      </c>
      <c r="H572" s="222">
        <v>125</v>
      </c>
      <c r="I572" s="222">
        <v>125</v>
      </c>
      <c r="J572" s="214"/>
      <c r="K572" s="214"/>
      <c r="L572" s="214"/>
      <c r="M572" s="214"/>
      <c r="N572" s="214"/>
      <c r="O572" s="214"/>
      <c r="P572" s="214"/>
    </row>
    <row r="573" spans="1:16" ht="51">
      <c r="A573" s="220" t="s">
        <v>892</v>
      </c>
      <c r="B573" s="220" t="s">
        <v>76</v>
      </c>
      <c r="C573" s="220" t="s">
        <v>242</v>
      </c>
      <c r="D573" s="220" t="s">
        <v>241</v>
      </c>
      <c r="E573" s="220" t="s">
        <v>528</v>
      </c>
      <c r="F573" s="221"/>
      <c r="G573" s="222">
        <v>125</v>
      </c>
      <c r="H573" s="222">
        <v>125</v>
      </c>
      <c r="I573" s="222">
        <v>125</v>
      </c>
      <c r="J573" s="214"/>
      <c r="K573" s="214"/>
      <c r="L573" s="214"/>
      <c r="M573" s="214"/>
      <c r="N573" s="214"/>
      <c r="O573" s="214"/>
      <c r="P573" s="214"/>
    </row>
    <row r="574" spans="1:16" ht="89.25">
      <c r="A574" s="220" t="s">
        <v>1277</v>
      </c>
      <c r="B574" s="220" t="s">
        <v>76</v>
      </c>
      <c r="C574" s="220" t="s">
        <v>242</v>
      </c>
      <c r="D574" s="220" t="s">
        <v>241</v>
      </c>
      <c r="E574" s="220" t="s">
        <v>977</v>
      </c>
      <c r="F574" s="221"/>
      <c r="G574" s="222">
        <v>125</v>
      </c>
      <c r="H574" s="222">
        <v>125</v>
      </c>
      <c r="I574" s="222">
        <v>125</v>
      </c>
      <c r="J574" s="214"/>
      <c r="K574" s="214"/>
      <c r="L574" s="214"/>
      <c r="M574" s="214"/>
      <c r="N574" s="214"/>
      <c r="O574" s="214"/>
      <c r="P574" s="214"/>
    </row>
    <row r="575" spans="1:16" ht="25.5">
      <c r="A575" s="220" t="s">
        <v>845</v>
      </c>
      <c r="B575" s="220" t="s">
        <v>76</v>
      </c>
      <c r="C575" s="220" t="s">
        <v>242</v>
      </c>
      <c r="D575" s="220" t="s">
        <v>241</v>
      </c>
      <c r="E575" s="220" t="s">
        <v>977</v>
      </c>
      <c r="F575" s="220" t="s">
        <v>318</v>
      </c>
      <c r="G575" s="222">
        <v>125</v>
      </c>
      <c r="H575" s="222">
        <v>125</v>
      </c>
      <c r="I575" s="222">
        <v>125</v>
      </c>
      <c r="J575" s="214"/>
      <c r="K575" s="214"/>
      <c r="L575" s="214"/>
      <c r="M575" s="214"/>
      <c r="N575" s="214"/>
      <c r="O575" s="214"/>
      <c r="P575" s="214"/>
    </row>
    <row r="576" spans="1:16" ht="25.5">
      <c r="A576" s="220" t="s">
        <v>1278</v>
      </c>
      <c r="B576" s="220" t="s">
        <v>76</v>
      </c>
      <c r="C576" s="220" t="s">
        <v>242</v>
      </c>
      <c r="D576" s="220" t="s">
        <v>241</v>
      </c>
      <c r="E576" s="220" t="s">
        <v>1142</v>
      </c>
      <c r="F576" s="221"/>
      <c r="G576" s="222">
        <v>324</v>
      </c>
      <c r="H576" s="222">
        <v>324</v>
      </c>
      <c r="I576" s="222">
        <v>324</v>
      </c>
      <c r="J576" s="214"/>
      <c r="K576" s="214"/>
      <c r="L576" s="214"/>
      <c r="M576" s="214"/>
      <c r="N576" s="214"/>
      <c r="O576" s="214"/>
      <c r="P576" s="214"/>
    </row>
    <row r="577" spans="1:16" ht="38.25">
      <c r="A577" s="220" t="s">
        <v>891</v>
      </c>
      <c r="B577" s="220" t="s">
        <v>76</v>
      </c>
      <c r="C577" s="220" t="s">
        <v>242</v>
      </c>
      <c r="D577" s="220" t="s">
        <v>241</v>
      </c>
      <c r="E577" s="220" t="s">
        <v>1143</v>
      </c>
      <c r="F577" s="221"/>
      <c r="G577" s="222">
        <v>324</v>
      </c>
      <c r="H577" s="222">
        <v>324</v>
      </c>
      <c r="I577" s="222">
        <v>324</v>
      </c>
      <c r="J577" s="214"/>
      <c r="K577" s="214"/>
      <c r="L577" s="214"/>
      <c r="M577" s="214"/>
      <c r="N577" s="214"/>
      <c r="O577" s="214"/>
      <c r="P577" s="214"/>
    </row>
    <row r="578" spans="1:16" ht="38.25">
      <c r="A578" s="220" t="s">
        <v>981</v>
      </c>
      <c r="B578" s="220" t="s">
        <v>76</v>
      </c>
      <c r="C578" s="220" t="s">
        <v>242</v>
      </c>
      <c r="D578" s="220" t="s">
        <v>241</v>
      </c>
      <c r="E578" s="220" t="s">
        <v>1144</v>
      </c>
      <c r="F578" s="221"/>
      <c r="G578" s="222">
        <v>324</v>
      </c>
      <c r="H578" s="222">
        <v>324</v>
      </c>
      <c r="I578" s="222">
        <v>324</v>
      </c>
      <c r="J578" s="214"/>
      <c r="K578" s="214"/>
      <c r="L578" s="214"/>
      <c r="M578" s="214"/>
      <c r="N578" s="214"/>
      <c r="O578" s="214"/>
      <c r="P578" s="214"/>
    </row>
    <row r="579" spans="1:16" ht="25.5">
      <c r="A579" s="220" t="s">
        <v>845</v>
      </c>
      <c r="B579" s="220" t="s">
        <v>76</v>
      </c>
      <c r="C579" s="220" t="s">
        <v>242</v>
      </c>
      <c r="D579" s="220" t="s">
        <v>241</v>
      </c>
      <c r="E579" s="220" t="s">
        <v>1144</v>
      </c>
      <c r="F579" s="220" t="s">
        <v>318</v>
      </c>
      <c r="G579" s="222">
        <v>324</v>
      </c>
      <c r="H579" s="222">
        <v>324</v>
      </c>
      <c r="I579" s="222">
        <v>324</v>
      </c>
      <c r="J579" s="214"/>
      <c r="K579" s="214"/>
      <c r="L579" s="214"/>
      <c r="M579" s="214"/>
      <c r="N579" s="214"/>
      <c r="O579" s="214"/>
      <c r="P579" s="214"/>
    </row>
    <row r="580" spans="1:16" ht="51">
      <c r="A580" s="220" t="s">
        <v>549</v>
      </c>
      <c r="B580" s="220" t="s">
        <v>76</v>
      </c>
      <c r="C580" s="220" t="s">
        <v>242</v>
      </c>
      <c r="D580" s="220" t="s">
        <v>241</v>
      </c>
      <c r="E580" s="220" t="s">
        <v>444</v>
      </c>
      <c r="F580" s="221"/>
      <c r="G580" s="222">
        <v>250</v>
      </c>
      <c r="H580" s="222">
        <v>250</v>
      </c>
      <c r="I580" s="222">
        <v>250</v>
      </c>
      <c r="J580" s="214"/>
      <c r="K580" s="214"/>
      <c r="L580" s="214"/>
      <c r="M580" s="214"/>
      <c r="N580" s="214"/>
      <c r="O580" s="214"/>
      <c r="P580" s="214"/>
    </row>
    <row r="581" spans="1:16" ht="25.5">
      <c r="A581" s="220" t="s">
        <v>587</v>
      </c>
      <c r="B581" s="220" t="s">
        <v>76</v>
      </c>
      <c r="C581" s="220" t="s">
        <v>242</v>
      </c>
      <c r="D581" s="220" t="s">
        <v>241</v>
      </c>
      <c r="E581" s="220" t="s">
        <v>452</v>
      </c>
      <c r="F581" s="221"/>
      <c r="G581" s="222">
        <v>250</v>
      </c>
      <c r="H581" s="222">
        <v>250</v>
      </c>
      <c r="I581" s="222">
        <v>250</v>
      </c>
      <c r="J581" s="214"/>
      <c r="K581" s="214"/>
      <c r="L581" s="214"/>
      <c r="M581" s="214"/>
      <c r="N581" s="214"/>
      <c r="O581" s="214"/>
      <c r="P581" s="214"/>
    </row>
    <row r="582" spans="1:16" ht="76.5">
      <c r="A582" s="220" t="s">
        <v>1359</v>
      </c>
      <c r="B582" s="220" t="s">
        <v>76</v>
      </c>
      <c r="C582" s="220" t="s">
        <v>242</v>
      </c>
      <c r="D582" s="220" t="s">
        <v>241</v>
      </c>
      <c r="E582" s="220" t="s">
        <v>453</v>
      </c>
      <c r="F582" s="221"/>
      <c r="G582" s="222">
        <v>250</v>
      </c>
      <c r="H582" s="222">
        <v>250</v>
      </c>
      <c r="I582" s="222">
        <v>250</v>
      </c>
      <c r="J582" s="214"/>
      <c r="K582" s="214"/>
      <c r="L582" s="214"/>
      <c r="M582" s="214"/>
      <c r="N582" s="214"/>
      <c r="O582" s="214"/>
      <c r="P582" s="214"/>
    </row>
    <row r="583" spans="1:16" ht="38.25">
      <c r="A583" s="220" t="s">
        <v>920</v>
      </c>
      <c r="B583" s="220" t="s">
        <v>76</v>
      </c>
      <c r="C583" s="220" t="s">
        <v>242</v>
      </c>
      <c r="D583" s="220" t="s">
        <v>241</v>
      </c>
      <c r="E583" s="220" t="s">
        <v>1220</v>
      </c>
      <c r="F583" s="221"/>
      <c r="G583" s="222">
        <v>250</v>
      </c>
      <c r="H583" s="222">
        <v>250</v>
      </c>
      <c r="I583" s="222">
        <v>250</v>
      </c>
      <c r="J583" s="214"/>
      <c r="K583" s="214"/>
      <c r="L583" s="214"/>
      <c r="M583" s="214"/>
      <c r="N583" s="214"/>
      <c r="O583" s="214"/>
      <c r="P583" s="214"/>
    </row>
    <row r="584" spans="1:16" ht="38.25">
      <c r="A584" s="220" t="s">
        <v>830</v>
      </c>
      <c r="B584" s="220" t="s">
        <v>76</v>
      </c>
      <c r="C584" s="220" t="s">
        <v>242</v>
      </c>
      <c r="D584" s="220" t="s">
        <v>241</v>
      </c>
      <c r="E584" s="220" t="s">
        <v>1220</v>
      </c>
      <c r="F584" s="220" t="s">
        <v>315</v>
      </c>
      <c r="G584" s="222">
        <v>250</v>
      </c>
      <c r="H584" s="222">
        <v>250</v>
      </c>
      <c r="I584" s="222">
        <v>250</v>
      </c>
      <c r="J584" s="214"/>
      <c r="K584" s="214"/>
      <c r="L584" s="214"/>
      <c r="M584" s="214"/>
      <c r="N584" s="214"/>
      <c r="O584" s="214"/>
      <c r="P584" s="214"/>
    </row>
    <row r="585" spans="1:16" ht="63.75">
      <c r="A585" s="220" t="s">
        <v>1276</v>
      </c>
      <c r="B585" s="220" t="s">
        <v>76</v>
      </c>
      <c r="C585" s="220" t="s">
        <v>242</v>
      </c>
      <c r="D585" s="220" t="s">
        <v>241</v>
      </c>
      <c r="E585" s="220" t="s">
        <v>1224</v>
      </c>
      <c r="F585" s="221"/>
      <c r="G585" s="222">
        <v>733</v>
      </c>
      <c r="H585" s="222">
        <v>733</v>
      </c>
      <c r="I585" s="222">
        <v>733</v>
      </c>
      <c r="J585" s="214"/>
      <c r="K585" s="214"/>
      <c r="L585" s="214"/>
      <c r="M585" s="214"/>
      <c r="N585" s="214"/>
      <c r="O585" s="214"/>
      <c r="P585" s="214"/>
    </row>
    <row r="586" spans="1:16">
      <c r="A586" s="220" t="s">
        <v>574</v>
      </c>
      <c r="B586" s="220" t="s">
        <v>76</v>
      </c>
      <c r="C586" s="220" t="s">
        <v>242</v>
      </c>
      <c r="D586" s="220" t="s">
        <v>241</v>
      </c>
      <c r="E586" s="220" t="s">
        <v>1225</v>
      </c>
      <c r="F586" s="221"/>
      <c r="G586" s="222">
        <v>733</v>
      </c>
      <c r="H586" s="222">
        <v>733</v>
      </c>
      <c r="I586" s="222">
        <v>733</v>
      </c>
      <c r="J586" s="214"/>
      <c r="K586" s="214"/>
      <c r="L586" s="214"/>
      <c r="M586" s="214"/>
      <c r="N586" s="214"/>
      <c r="O586" s="214"/>
      <c r="P586" s="214"/>
    </row>
    <row r="587" spans="1:16" ht="38.25">
      <c r="A587" s="220" t="s">
        <v>907</v>
      </c>
      <c r="B587" s="220" t="s">
        <v>76</v>
      </c>
      <c r="C587" s="220" t="s">
        <v>242</v>
      </c>
      <c r="D587" s="220" t="s">
        <v>241</v>
      </c>
      <c r="E587" s="220" t="s">
        <v>1227</v>
      </c>
      <c r="F587" s="221"/>
      <c r="G587" s="222">
        <v>733</v>
      </c>
      <c r="H587" s="222">
        <v>733</v>
      </c>
      <c r="I587" s="222">
        <v>733</v>
      </c>
      <c r="J587" s="214"/>
      <c r="K587" s="214"/>
      <c r="L587" s="214"/>
      <c r="M587" s="214"/>
      <c r="N587" s="214"/>
      <c r="O587" s="214"/>
      <c r="P587" s="214"/>
    </row>
    <row r="588" spans="1:16" ht="25.5">
      <c r="A588" s="220" t="s">
        <v>845</v>
      </c>
      <c r="B588" s="220" t="s">
        <v>76</v>
      </c>
      <c r="C588" s="220" t="s">
        <v>242</v>
      </c>
      <c r="D588" s="220" t="s">
        <v>241</v>
      </c>
      <c r="E588" s="220" t="s">
        <v>1227</v>
      </c>
      <c r="F588" s="220" t="s">
        <v>318</v>
      </c>
      <c r="G588" s="222">
        <v>733</v>
      </c>
      <c r="H588" s="222">
        <v>733</v>
      </c>
      <c r="I588" s="222">
        <v>733</v>
      </c>
      <c r="J588" s="214"/>
      <c r="K588" s="214"/>
      <c r="L588" s="214"/>
      <c r="M588" s="214"/>
      <c r="N588" s="214"/>
      <c r="O588" s="214"/>
      <c r="P588" s="214"/>
    </row>
    <row r="589" spans="1:16">
      <c r="A589" s="220" t="s">
        <v>559</v>
      </c>
      <c r="B589" s="220" t="s">
        <v>76</v>
      </c>
      <c r="C589" s="220" t="s">
        <v>242</v>
      </c>
      <c r="D589" s="220" t="s">
        <v>234</v>
      </c>
      <c r="E589" s="221"/>
      <c r="F589" s="221"/>
      <c r="G589" s="222">
        <v>4293.8280000000004</v>
      </c>
      <c r="H589" s="222">
        <v>8587.6560000000009</v>
      </c>
      <c r="I589" s="222">
        <v>7514.1989999999996</v>
      </c>
      <c r="J589" s="214"/>
      <c r="K589" s="214"/>
      <c r="L589" s="214"/>
      <c r="M589" s="214"/>
      <c r="N589" s="214"/>
      <c r="O589" s="214"/>
      <c r="P589" s="214"/>
    </row>
    <row r="590" spans="1:16" ht="63.75">
      <c r="A590" s="220" t="s">
        <v>565</v>
      </c>
      <c r="B590" s="220" t="s">
        <v>76</v>
      </c>
      <c r="C590" s="220" t="s">
        <v>242</v>
      </c>
      <c r="D590" s="220" t="s">
        <v>234</v>
      </c>
      <c r="E590" s="220" t="s">
        <v>401</v>
      </c>
      <c r="F590" s="221"/>
      <c r="G590" s="222">
        <v>4293.8280000000004</v>
      </c>
      <c r="H590" s="222">
        <v>8587.6560000000009</v>
      </c>
      <c r="I590" s="222">
        <v>7514.1989999999996</v>
      </c>
      <c r="J590" s="214"/>
      <c r="K590" s="214"/>
      <c r="L590" s="214"/>
      <c r="M590" s="214"/>
      <c r="N590" s="214"/>
      <c r="O590" s="214"/>
      <c r="P590" s="214"/>
    </row>
    <row r="591" spans="1:16">
      <c r="A591" s="220" t="s">
        <v>566</v>
      </c>
      <c r="B591" s="220" t="s">
        <v>76</v>
      </c>
      <c r="C591" s="220" t="s">
        <v>242</v>
      </c>
      <c r="D591" s="220" t="s">
        <v>234</v>
      </c>
      <c r="E591" s="220" t="s">
        <v>402</v>
      </c>
      <c r="F591" s="221"/>
      <c r="G591" s="222">
        <v>4293.8280000000004</v>
      </c>
      <c r="H591" s="222">
        <v>8587.6560000000009</v>
      </c>
      <c r="I591" s="222">
        <v>7514.1989999999996</v>
      </c>
      <c r="J591" s="214"/>
      <c r="K591" s="214"/>
      <c r="L591" s="214"/>
      <c r="M591" s="214"/>
      <c r="N591" s="214"/>
      <c r="O591" s="214"/>
      <c r="P591" s="214"/>
    </row>
    <row r="592" spans="1:16" ht="140.25">
      <c r="A592" s="220" t="s">
        <v>867</v>
      </c>
      <c r="B592" s="220" t="s">
        <v>76</v>
      </c>
      <c r="C592" s="220" t="s">
        <v>242</v>
      </c>
      <c r="D592" s="220" t="s">
        <v>234</v>
      </c>
      <c r="E592" s="220" t="s">
        <v>403</v>
      </c>
      <c r="F592" s="221"/>
      <c r="G592" s="222">
        <v>4293.8280000000004</v>
      </c>
      <c r="H592" s="222">
        <v>8587.6560000000009</v>
      </c>
      <c r="I592" s="222">
        <v>7514.1989999999996</v>
      </c>
      <c r="J592" s="214"/>
      <c r="K592" s="214"/>
      <c r="L592" s="214"/>
      <c r="M592" s="214"/>
      <c r="N592" s="214"/>
      <c r="O592" s="214"/>
      <c r="P592" s="214"/>
    </row>
    <row r="593" spans="1:16" ht="63.75">
      <c r="A593" s="220" t="s">
        <v>893</v>
      </c>
      <c r="B593" s="220" t="s">
        <v>76</v>
      </c>
      <c r="C593" s="220" t="s">
        <v>242</v>
      </c>
      <c r="D593" s="220" t="s">
        <v>234</v>
      </c>
      <c r="E593" s="220" t="s">
        <v>1135</v>
      </c>
      <c r="F593" s="221"/>
      <c r="G593" s="222">
        <v>4293.8280000000004</v>
      </c>
      <c r="H593" s="222">
        <v>8587.6560000000009</v>
      </c>
      <c r="I593" s="222">
        <v>7514.1989999999996</v>
      </c>
      <c r="J593" s="214"/>
      <c r="K593" s="214"/>
      <c r="L593" s="214"/>
      <c r="M593" s="214"/>
      <c r="N593" s="214"/>
      <c r="O593" s="214"/>
      <c r="P593" s="214"/>
    </row>
    <row r="594" spans="1:16" ht="38.25">
      <c r="A594" s="220" t="s">
        <v>894</v>
      </c>
      <c r="B594" s="220" t="s">
        <v>76</v>
      </c>
      <c r="C594" s="220" t="s">
        <v>242</v>
      </c>
      <c r="D594" s="220" t="s">
        <v>234</v>
      </c>
      <c r="E594" s="220" t="s">
        <v>1135</v>
      </c>
      <c r="F594" s="220" t="s">
        <v>317</v>
      </c>
      <c r="G594" s="222">
        <v>4293.8280000000004</v>
      </c>
      <c r="H594" s="222">
        <v>8587.6560000000009</v>
      </c>
      <c r="I594" s="222">
        <v>7514.1989999999996</v>
      </c>
      <c r="J594" s="214"/>
      <c r="K594" s="214"/>
      <c r="L594" s="214"/>
      <c r="M594" s="214"/>
      <c r="N594" s="214"/>
      <c r="O594" s="214"/>
      <c r="P594" s="214"/>
    </row>
    <row r="595" spans="1:16" ht="25.5">
      <c r="A595" s="220" t="s">
        <v>606</v>
      </c>
      <c r="B595" s="220" t="s">
        <v>76</v>
      </c>
      <c r="C595" s="220" t="s">
        <v>242</v>
      </c>
      <c r="D595" s="220" t="s">
        <v>243</v>
      </c>
      <c r="E595" s="221"/>
      <c r="F595" s="221"/>
      <c r="G595" s="222">
        <v>848</v>
      </c>
      <c r="H595" s="222">
        <v>772</v>
      </c>
      <c r="I595" s="222">
        <v>772</v>
      </c>
      <c r="J595" s="214"/>
      <c r="K595" s="214"/>
      <c r="L595" s="214"/>
      <c r="M595" s="214"/>
      <c r="N595" s="214"/>
      <c r="O595" s="214"/>
      <c r="P595" s="214"/>
    </row>
    <row r="596" spans="1:16" ht="51">
      <c r="A596" s="220" t="s">
        <v>1241</v>
      </c>
      <c r="B596" s="220" t="s">
        <v>76</v>
      </c>
      <c r="C596" s="220" t="s">
        <v>242</v>
      </c>
      <c r="D596" s="220" t="s">
        <v>243</v>
      </c>
      <c r="E596" s="220" t="s">
        <v>393</v>
      </c>
      <c r="F596" s="221"/>
      <c r="G596" s="222">
        <v>272</v>
      </c>
      <c r="H596" s="222">
        <v>272</v>
      </c>
      <c r="I596" s="222">
        <v>272</v>
      </c>
      <c r="J596" s="214"/>
      <c r="K596" s="214"/>
      <c r="L596" s="214"/>
      <c r="M596" s="214"/>
      <c r="N596" s="214"/>
      <c r="O596" s="214"/>
      <c r="P596" s="214"/>
    </row>
    <row r="597" spans="1:16" ht="38.25">
      <c r="A597" s="220" t="s">
        <v>1243</v>
      </c>
      <c r="B597" s="220" t="s">
        <v>76</v>
      </c>
      <c r="C597" s="220" t="s">
        <v>242</v>
      </c>
      <c r="D597" s="220" t="s">
        <v>243</v>
      </c>
      <c r="E597" s="220" t="s">
        <v>394</v>
      </c>
      <c r="F597" s="221"/>
      <c r="G597" s="222">
        <v>172</v>
      </c>
      <c r="H597" s="222">
        <v>172</v>
      </c>
      <c r="I597" s="222">
        <v>172</v>
      </c>
      <c r="J597" s="214"/>
      <c r="K597" s="214"/>
      <c r="L597" s="214"/>
      <c r="M597" s="214"/>
      <c r="N597" s="214"/>
      <c r="O597" s="214"/>
      <c r="P597" s="214"/>
    </row>
    <row r="598" spans="1:16" ht="51">
      <c r="A598" s="220" t="s">
        <v>1244</v>
      </c>
      <c r="B598" s="220" t="s">
        <v>76</v>
      </c>
      <c r="C598" s="220" t="s">
        <v>242</v>
      </c>
      <c r="D598" s="220" t="s">
        <v>243</v>
      </c>
      <c r="E598" s="220" t="s">
        <v>395</v>
      </c>
      <c r="F598" s="221"/>
      <c r="G598" s="222">
        <v>172</v>
      </c>
      <c r="H598" s="222">
        <v>172</v>
      </c>
      <c r="I598" s="222">
        <v>172</v>
      </c>
      <c r="J598" s="214"/>
      <c r="K598" s="214"/>
      <c r="L598" s="214"/>
      <c r="M598" s="214"/>
      <c r="N598" s="214"/>
      <c r="O598" s="214"/>
      <c r="P598" s="214"/>
    </row>
    <row r="599" spans="1:16" ht="38.25">
      <c r="A599" s="220" t="s">
        <v>921</v>
      </c>
      <c r="B599" s="220" t="s">
        <v>76</v>
      </c>
      <c r="C599" s="220" t="s">
        <v>242</v>
      </c>
      <c r="D599" s="220" t="s">
        <v>243</v>
      </c>
      <c r="E599" s="220" t="s">
        <v>1119</v>
      </c>
      <c r="F599" s="221"/>
      <c r="G599" s="222">
        <v>100</v>
      </c>
      <c r="H599" s="222">
        <v>100</v>
      </c>
      <c r="I599" s="222">
        <v>100</v>
      </c>
      <c r="J599" s="214"/>
      <c r="K599" s="214"/>
      <c r="L599" s="214"/>
      <c r="M599" s="214"/>
      <c r="N599" s="214"/>
      <c r="O599" s="214"/>
      <c r="P599" s="214"/>
    </row>
    <row r="600" spans="1:16" ht="25.5">
      <c r="A600" s="220" t="s">
        <v>845</v>
      </c>
      <c r="B600" s="220" t="s">
        <v>76</v>
      </c>
      <c r="C600" s="220" t="s">
        <v>242</v>
      </c>
      <c r="D600" s="220" t="s">
        <v>243</v>
      </c>
      <c r="E600" s="220" t="s">
        <v>1119</v>
      </c>
      <c r="F600" s="220" t="s">
        <v>318</v>
      </c>
      <c r="G600" s="222">
        <v>100</v>
      </c>
      <c r="H600" s="222">
        <v>100</v>
      </c>
      <c r="I600" s="222">
        <v>100</v>
      </c>
      <c r="J600" s="214"/>
      <c r="K600" s="214"/>
      <c r="L600" s="214"/>
      <c r="M600" s="214"/>
      <c r="N600" s="214"/>
      <c r="O600" s="214"/>
      <c r="P600" s="214"/>
    </row>
    <row r="601" spans="1:16" ht="25.5">
      <c r="A601" s="220" t="s">
        <v>922</v>
      </c>
      <c r="B601" s="220" t="s">
        <v>76</v>
      </c>
      <c r="C601" s="220" t="s">
        <v>242</v>
      </c>
      <c r="D601" s="220" t="s">
        <v>243</v>
      </c>
      <c r="E601" s="220" t="s">
        <v>1120</v>
      </c>
      <c r="F601" s="221"/>
      <c r="G601" s="222">
        <v>72</v>
      </c>
      <c r="H601" s="222">
        <v>72</v>
      </c>
      <c r="I601" s="222">
        <v>72</v>
      </c>
      <c r="J601" s="214"/>
      <c r="K601" s="214"/>
      <c r="L601" s="214"/>
      <c r="M601" s="214"/>
      <c r="N601" s="214"/>
      <c r="O601" s="214"/>
      <c r="P601" s="214"/>
    </row>
    <row r="602" spans="1:16" ht="25.5">
      <c r="A602" s="220" t="s">
        <v>845</v>
      </c>
      <c r="B602" s="220" t="s">
        <v>76</v>
      </c>
      <c r="C602" s="220" t="s">
        <v>242</v>
      </c>
      <c r="D602" s="220" t="s">
        <v>243</v>
      </c>
      <c r="E602" s="220" t="s">
        <v>1120</v>
      </c>
      <c r="F602" s="220" t="s">
        <v>318</v>
      </c>
      <c r="G602" s="222">
        <v>72</v>
      </c>
      <c r="H602" s="222">
        <v>72</v>
      </c>
      <c r="I602" s="222">
        <v>72</v>
      </c>
      <c r="J602" s="214"/>
      <c r="K602" s="214"/>
      <c r="L602" s="214"/>
      <c r="M602" s="214"/>
      <c r="N602" s="214"/>
      <c r="O602" s="214"/>
      <c r="P602" s="214"/>
    </row>
    <row r="603" spans="1:16" ht="25.5">
      <c r="A603" s="220" t="s">
        <v>544</v>
      </c>
      <c r="B603" s="220" t="s">
        <v>76</v>
      </c>
      <c r="C603" s="220" t="s">
        <v>242</v>
      </c>
      <c r="D603" s="220" t="s">
        <v>243</v>
      </c>
      <c r="E603" s="220" t="s">
        <v>396</v>
      </c>
      <c r="F603" s="221"/>
      <c r="G603" s="222">
        <v>100</v>
      </c>
      <c r="H603" s="222">
        <v>100</v>
      </c>
      <c r="I603" s="222">
        <v>100</v>
      </c>
      <c r="J603" s="214"/>
      <c r="K603" s="214"/>
      <c r="L603" s="214"/>
      <c r="M603" s="214"/>
      <c r="N603" s="214"/>
      <c r="O603" s="214"/>
      <c r="P603" s="214"/>
    </row>
    <row r="604" spans="1:16" ht="51">
      <c r="A604" s="220" t="s">
        <v>1279</v>
      </c>
      <c r="B604" s="220" t="s">
        <v>76</v>
      </c>
      <c r="C604" s="220" t="s">
        <v>242</v>
      </c>
      <c r="D604" s="220" t="s">
        <v>243</v>
      </c>
      <c r="E604" s="220" t="s">
        <v>397</v>
      </c>
      <c r="F604" s="221"/>
      <c r="G604" s="222">
        <v>100</v>
      </c>
      <c r="H604" s="222">
        <v>100</v>
      </c>
      <c r="I604" s="222">
        <v>100</v>
      </c>
      <c r="J604" s="214"/>
      <c r="K604" s="214"/>
      <c r="L604" s="214"/>
      <c r="M604" s="214"/>
      <c r="N604" s="214"/>
      <c r="O604" s="214"/>
      <c r="P604" s="214"/>
    </row>
    <row r="605" spans="1:16" ht="51">
      <c r="A605" s="220" t="s">
        <v>1280</v>
      </c>
      <c r="B605" s="220" t="s">
        <v>76</v>
      </c>
      <c r="C605" s="220" t="s">
        <v>242</v>
      </c>
      <c r="D605" s="220" t="s">
        <v>243</v>
      </c>
      <c r="E605" s="220" t="s">
        <v>1125</v>
      </c>
      <c r="F605" s="221"/>
      <c r="G605" s="222">
        <v>100</v>
      </c>
      <c r="H605" s="222">
        <v>100</v>
      </c>
      <c r="I605" s="222">
        <v>100</v>
      </c>
      <c r="J605" s="214"/>
      <c r="K605" s="214"/>
      <c r="L605" s="214"/>
      <c r="M605" s="214"/>
      <c r="N605" s="214"/>
      <c r="O605" s="214"/>
      <c r="P605" s="214"/>
    </row>
    <row r="606" spans="1:16" ht="25.5">
      <c r="A606" s="220" t="s">
        <v>845</v>
      </c>
      <c r="B606" s="220" t="s">
        <v>76</v>
      </c>
      <c r="C606" s="220" t="s">
        <v>242</v>
      </c>
      <c r="D606" s="220" t="s">
        <v>243</v>
      </c>
      <c r="E606" s="220" t="s">
        <v>1125</v>
      </c>
      <c r="F606" s="220" t="s">
        <v>318</v>
      </c>
      <c r="G606" s="222">
        <v>100</v>
      </c>
      <c r="H606" s="222">
        <v>100</v>
      </c>
      <c r="I606" s="222">
        <v>100</v>
      </c>
      <c r="J606" s="214"/>
      <c r="K606" s="214"/>
      <c r="L606" s="214"/>
      <c r="M606" s="214"/>
      <c r="N606" s="214"/>
      <c r="O606" s="214"/>
      <c r="P606" s="214"/>
    </row>
    <row r="607" spans="1:16" ht="51">
      <c r="A607" s="220" t="s">
        <v>1254</v>
      </c>
      <c r="B607" s="220" t="s">
        <v>76</v>
      </c>
      <c r="C607" s="220" t="s">
        <v>242</v>
      </c>
      <c r="D607" s="220" t="s">
        <v>243</v>
      </c>
      <c r="E607" s="220" t="s">
        <v>437</v>
      </c>
      <c r="F607" s="221"/>
      <c r="G607" s="222">
        <v>576</v>
      </c>
      <c r="H607" s="222">
        <v>500</v>
      </c>
      <c r="I607" s="222">
        <v>500</v>
      </c>
      <c r="J607" s="214"/>
      <c r="K607" s="214"/>
      <c r="L607" s="214"/>
      <c r="M607" s="214"/>
      <c r="N607" s="214"/>
      <c r="O607" s="214"/>
      <c r="P607" s="214"/>
    </row>
    <row r="608" spans="1:16" ht="89.25">
      <c r="A608" s="220" t="s">
        <v>1281</v>
      </c>
      <c r="B608" s="220" t="s">
        <v>76</v>
      </c>
      <c r="C608" s="220" t="s">
        <v>242</v>
      </c>
      <c r="D608" s="220" t="s">
        <v>243</v>
      </c>
      <c r="E608" s="220" t="s">
        <v>1187</v>
      </c>
      <c r="F608" s="221"/>
      <c r="G608" s="222">
        <v>576</v>
      </c>
      <c r="H608" s="222">
        <v>500</v>
      </c>
      <c r="I608" s="222">
        <v>500</v>
      </c>
      <c r="J608" s="214"/>
      <c r="K608" s="214"/>
      <c r="L608" s="214"/>
      <c r="M608" s="214"/>
      <c r="N608" s="214"/>
      <c r="O608" s="214"/>
      <c r="P608" s="214"/>
    </row>
    <row r="609" spans="1:16" ht="89.25">
      <c r="A609" s="220" t="s">
        <v>1282</v>
      </c>
      <c r="B609" s="220" t="s">
        <v>76</v>
      </c>
      <c r="C609" s="220" t="s">
        <v>242</v>
      </c>
      <c r="D609" s="220" t="s">
        <v>243</v>
      </c>
      <c r="E609" s="220" t="s">
        <v>1189</v>
      </c>
      <c r="F609" s="221"/>
      <c r="G609" s="222">
        <v>576</v>
      </c>
      <c r="H609" s="222">
        <v>500</v>
      </c>
      <c r="I609" s="222">
        <v>500</v>
      </c>
      <c r="J609" s="214"/>
      <c r="K609" s="214"/>
      <c r="L609" s="214"/>
      <c r="M609" s="214"/>
      <c r="N609" s="214"/>
      <c r="O609" s="214"/>
      <c r="P609" s="214"/>
    </row>
    <row r="610" spans="1:16" ht="38.25">
      <c r="A610" s="220" t="s">
        <v>830</v>
      </c>
      <c r="B610" s="220" t="s">
        <v>76</v>
      </c>
      <c r="C610" s="220" t="s">
        <v>242</v>
      </c>
      <c r="D610" s="220" t="s">
        <v>243</v>
      </c>
      <c r="E610" s="220" t="s">
        <v>1189</v>
      </c>
      <c r="F610" s="220" t="s">
        <v>315</v>
      </c>
      <c r="G610" s="222">
        <v>576</v>
      </c>
      <c r="H610" s="222">
        <v>500</v>
      </c>
      <c r="I610" s="222">
        <v>500</v>
      </c>
      <c r="J610" s="214"/>
      <c r="K610" s="214"/>
      <c r="L610" s="214"/>
      <c r="M610" s="214"/>
      <c r="N610" s="214"/>
      <c r="O610" s="214"/>
      <c r="P610" s="214"/>
    </row>
    <row r="611" spans="1:16">
      <c r="A611" s="220" t="s">
        <v>596</v>
      </c>
      <c r="B611" s="220" t="s">
        <v>76</v>
      </c>
      <c r="C611" s="220" t="s">
        <v>235</v>
      </c>
      <c r="D611" s="221"/>
      <c r="E611" s="221"/>
      <c r="F611" s="221"/>
      <c r="G611" s="222">
        <v>1542.42</v>
      </c>
      <c r="H611" s="222">
        <v>1540.5920000000001</v>
      </c>
      <c r="I611" s="222">
        <v>1540.5920000000001</v>
      </c>
      <c r="J611" s="214"/>
      <c r="K611" s="214"/>
      <c r="L611" s="214"/>
      <c r="M611" s="214"/>
      <c r="N611" s="214"/>
      <c r="O611" s="214"/>
      <c r="P611" s="214"/>
    </row>
    <row r="612" spans="1:16">
      <c r="A612" s="220" t="s">
        <v>597</v>
      </c>
      <c r="B612" s="220" t="s">
        <v>76</v>
      </c>
      <c r="C612" s="220" t="s">
        <v>235</v>
      </c>
      <c r="D612" s="220" t="s">
        <v>239</v>
      </c>
      <c r="E612" s="221"/>
      <c r="F612" s="221"/>
      <c r="G612" s="222">
        <v>1542.42</v>
      </c>
      <c r="H612" s="222">
        <v>1540.5920000000001</v>
      </c>
      <c r="I612" s="222">
        <v>1540.5920000000001</v>
      </c>
      <c r="J612" s="214"/>
      <c r="K612" s="214"/>
      <c r="L612" s="214"/>
      <c r="M612" s="214"/>
      <c r="N612" s="214"/>
      <c r="O612" s="214"/>
      <c r="P612" s="214"/>
    </row>
    <row r="613" spans="1:16" ht="51">
      <c r="A613" s="220" t="s">
        <v>549</v>
      </c>
      <c r="B613" s="220" t="s">
        <v>76</v>
      </c>
      <c r="C613" s="220" t="s">
        <v>235</v>
      </c>
      <c r="D613" s="220" t="s">
        <v>239</v>
      </c>
      <c r="E613" s="220" t="s">
        <v>444</v>
      </c>
      <c r="F613" s="221"/>
      <c r="G613" s="222">
        <v>1542.42</v>
      </c>
      <c r="H613" s="222">
        <v>1540.5920000000001</v>
      </c>
      <c r="I613" s="222">
        <v>1540.5920000000001</v>
      </c>
      <c r="J613" s="214"/>
      <c r="K613" s="214"/>
      <c r="L613" s="214"/>
      <c r="M613" s="214"/>
      <c r="N613" s="214"/>
      <c r="O613" s="214"/>
      <c r="P613" s="214"/>
    </row>
    <row r="614" spans="1:16" ht="51">
      <c r="A614" s="220" t="s">
        <v>1247</v>
      </c>
      <c r="B614" s="220" t="s">
        <v>76</v>
      </c>
      <c r="C614" s="220" t="s">
        <v>235</v>
      </c>
      <c r="D614" s="220" t="s">
        <v>239</v>
      </c>
      <c r="E614" s="220" t="s">
        <v>445</v>
      </c>
      <c r="F614" s="221"/>
      <c r="G614" s="222">
        <v>1542.42</v>
      </c>
      <c r="H614" s="222">
        <v>1540.5920000000001</v>
      </c>
      <c r="I614" s="222">
        <v>1540.5920000000001</v>
      </c>
      <c r="J614" s="214"/>
      <c r="K614" s="214"/>
      <c r="L614" s="214"/>
      <c r="M614" s="214"/>
      <c r="N614" s="214"/>
      <c r="O614" s="214"/>
      <c r="P614" s="214"/>
    </row>
    <row r="615" spans="1:16" ht="51">
      <c r="A615" s="220" t="s">
        <v>1283</v>
      </c>
      <c r="B615" s="220" t="s">
        <v>76</v>
      </c>
      <c r="C615" s="220" t="s">
        <v>235</v>
      </c>
      <c r="D615" s="220" t="s">
        <v>239</v>
      </c>
      <c r="E615" s="220" t="s">
        <v>1212</v>
      </c>
      <c r="F615" s="221"/>
      <c r="G615" s="222">
        <v>1542.42</v>
      </c>
      <c r="H615" s="222">
        <v>1540.5920000000001</v>
      </c>
      <c r="I615" s="222">
        <v>1540.5920000000001</v>
      </c>
      <c r="J615" s="214"/>
      <c r="K615" s="214"/>
      <c r="L615" s="214"/>
      <c r="M615" s="214"/>
      <c r="N615" s="214"/>
      <c r="O615" s="214"/>
      <c r="P615" s="214"/>
    </row>
    <row r="616" spans="1:16" ht="25.5">
      <c r="A616" s="220" t="s">
        <v>970</v>
      </c>
      <c r="B616" s="220" t="s">
        <v>76</v>
      </c>
      <c r="C616" s="220" t="s">
        <v>235</v>
      </c>
      <c r="D616" s="220" t="s">
        <v>239</v>
      </c>
      <c r="E616" s="220" t="s">
        <v>1213</v>
      </c>
      <c r="F616" s="221"/>
      <c r="G616" s="222">
        <v>36.804000000000002</v>
      </c>
      <c r="H616" s="222">
        <v>36.804000000000002</v>
      </c>
      <c r="I616" s="222">
        <v>36.804000000000002</v>
      </c>
      <c r="J616" s="214"/>
      <c r="K616" s="214"/>
      <c r="L616" s="214"/>
      <c r="M616" s="214"/>
      <c r="N616" s="214"/>
      <c r="O616" s="214"/>
      <c r="P616" s="214"/>
    </row>
    <row r="617" spans="1:16" ht="38.25">
      <c r="A617" s="220" t="s">
        <v>830</v>
      </c>
      <c r="B617" s="220" t="s">
        <v>76</v>
      </c>
      <c r="C617" s="220" t="s">
        <v>235</v>
      </c>
      <c r="D617" s="220" t="s">
        <v>239</v>
      </c>
      <c r="E617" s="220" t="s">
        <v>1213</v>
      </c>
      <c r="F617" s="220" t="s">
        <v>315</v>
      </c>
      <c r="G617" s="222">
        <v>36.804000000000002</v>
      </c>
      <c r="H617" s="222">
        <v>36.804000000000002</v>
      </c>
      <c r="I617" s="222">
        <v>36.804000000000002</v>
      </c>
      <c r="J617" s="214"/>
      <c r="K617" s="214"/>
      <c r="L617" s="214"/>
      <c r="M617" s="214"/>
      <c r="N617" s="214"/>
      <c r="O617" s="214"/>
      <c r="P617" s="214"/>
    </row>
    <row r="618" spans="1:16" ht="38.25">
      <c r="A618" s="220" t="s">
        <v>1284</v>
      </c>
      <c r="B618" s="220" t="s">
        <v>76</v>
      </c>
      <c r="C618" s="220" t="s">
        <v>235</v>
      </c>
      <c r="D618" s="220" t="s">
        <v>239</v>
      </c>
      <c r="E618" s="220" t="s">
        <v>1215</v>
      </c>
      <c r="F618" s="221"/>
      <c r="G618" s="222">
        <v>1505.616</v>
      </c>
      <c r="H618" s="222">
        <v>1503.788</v>
      </c>
      <c r="I618" s="222">
        <v>1503.788</v>
      </c>
      <c r="J618" s="214"/>
      <c r="K618" s="214"/>
      <c r="L618" s="214"/>
      <c r="M618" s="214"/>
      <c r="N618" s="214"/>
      <c r="O618" s="214"/>
      <c r="P618" s="214"/>
    </row>
    <row r="619" spans="1:16" ht="38.25">
      <c r="A619" s="220" t="s">
        <v>830</v>
      </c>
      <c r="B619" s="220" t="s">
        <v>76</v>
      </c>
      <c r="C619" s="220" t="s">
        <v>235</v>
      </c>
      <c r="D619" s="220" t="s">
        <v>239</v>
      </c>
      <c r="E619" s="220" t="s">
        <v>1215</v>
      </c>
      <c r="F619" s="220" t="s">
        <v>315</v>
      </c>
      <c r="G619" s="222">
        <v>1505.616</v>
      </c>
      <c r="H619" s="222">
        <v>1503.788</v>
      </c>
      <c r="I619" s="222">
        <v>1503.788</v>
      </c>
      <c r="J619" s="214"/>
      <c r="K619" s="214"/>
      <c r="L619" s="214"/>
      <c r="M619" s="214"/>
      <c r="N619" s="214"/>
      <c r="O619" s="214"/>
      <c r="P619" s="214"/>
    </row>
    <row r="620" spans="1:16" ht="38.25">
      <c r="A620" s="220" t="s">
        <v>563</v>
      </c>
      <c r="B620" s="220" t="s">
        <v>76</v>
      </c>
      <c r="C620" s="220" t="s">
        <v>6</v>
      </c>
      <c r="D620" s="221"/>
      <c r="E620" s="221"/>
      <c r="F620" s="221"/>
      <c r="G620" s="222">
        <v>21239.3</v>
      </c>
      <c r="H620" s="222">
        <v>21239.3</v>
      </c>
      <c r="I620" s="222">
        <v>11239.3</v>
      </c>
      <c r="J620" s="214"/>
      <c r="K620" s="214"/>
      <c r="L620" s="214"/>
      <c r="M620" s="214"/>
      <c r="N620" s="214"/>
      <c r="O620" s="214"/>
      <c r="P620" s="214"/>
    </row>
    <row r="621" spans="1:16" ht="25.5">
      <c r="A621" s="220" t="s">
        <v>564</v>
      </c>
      <c r="B621" s="220" t="s">
        <v>76</v>
      </c>
      <c r="C621" s="220" t="s">
        <v>6</v>
      </c>
      <c r="D621" s="220" t="s">
        <v>239</v>
      </c>
      <c r="E621" s="221"/>
      <c r="F621" s="221"/>
      <c r="G621" s="222">
        <v>21239.3</v>
      </c>
      <c r="H621" s="222">
        <v>21239.3</v>
      </c>
      <c r="I621" s="222">
        <v>11239.3</v>
      </c>
      <c r="J621" s="214"/>
      <c r="K621" s="214"/>
      <c r="L621" s="214"/>
      <c r="M621" s="214"/>
      <c r="N621" s="214"/>
      <c r="O621" s="214"/>
      <c r="P621" s="214"/>
    </row>
    <row r="622" spans="1:16" ht="51">
      <c r="A622" s="220" t="s">
        <v>561</v>
      </c>
      <c r="B622" s="220" t="s">
        <v>76</v>
      </c>
      <c r="C622" s="220" t="s">
        <v>6</v>
      </c>
      <c r="D622" s="220" t="s">
        <v>239</v>
      </c>
      <c r="E622" s="220" t="s">
        <v>438</v>
      </c>
      <c r="F622" s="221"/>
      <c r="G622" s="222">
        <v>21239.3</v>
      </c>
      <c r="H622" s="222">
        <v>21239.3</v>
      </c>
      <c r="I622" s="222">
        <v>11239.3</v>
      </c>
      <c r="J622" s="214"/>
      <c r="K622" s="214"/>
      <c r="L622" s="214"/>
      <c r="M622" s="214"/>
      <c r="N622" s="214"/>
      <c r="O622" s="214"/>
      <c r="P622" s="214"/>
    </row>
    <row r="623" spans="1:16" ht="25.5">
      <c r="A623" s="220" t="s">
        <v>1285</v>
      </c>
      <c r="B623" s="220" t="s">
        <v>76</v>
      </c>
      <c r="C623" s="220" t="s">
        <v>6</v>
      </c>
      <c r="D623" s="220" t="s">
        <v>239</v>
      </c>
      <c r="E623" s="220" t="s">
        <v>441</v>
      </c>
      <c r="F623" s="221"/>
      <c r="G623" s="222">
        <v>21239.3</v>
      </c>
      <c r="H623" s="222">
        <v>21239.3</v>
      </c>
      <c r="I623" s="222">
        <v>11239.3</v>
      </c>
      <c r="J623" s="214"/>
      <c r="K623" s="214"/>
      <c r="L623" s="214"/>
      <c r="M623" s="214"/>
      <c r="N623" s="214"/>
      <c r="O623" s="214"/>
      <c r="P623" s="214"/>
    </row>
    <row r="624" spans="1:16" ht="38.25">
      <c r="A624" s="220" t="s">
        <v>1286</v>
      </c>
      <c r="B624" s="220" t="s">
        <v>76</v>
      </c>
      <c r="C624" s="220" t="s">
        <v>6</v>
      </c>
      <c r="D624" s="220" t="s">
        <v>239</v>
      </c>
      <c r="E624" s="220" t="s">
        <v>442</v>
      </c>
      <c r="F624" s="221"/>
      <c r="G624" s="222">
        <v>21239.3</v>
      </c>
      <c r="H624" s="222">
        <v>21239.3</v>
      </c>
      <c r="I624" s="222">
        <v>11239.3</v>
      </c>
      <c r="J624" s="214"/>
      <c r="K624" s="214"/>
      <c r="L624" s="214"/>
      <c r="M624" s="214"/>
      <c r="N624" s="214"/>
      <c r="O624" s="214"/>
      <c r="P624" s="214"/>
    </row>
    <row r="625" spans="1:16" ht="25.5">
      <c r="A625" s="220" t="s">
        <v>1287</v>
      </c>
      <c r="B625" s="220" t="s">
        <v>76</v>
      </c>
      <c r="C625" s="220" t="s">
        <v>6</v>
      </c>
      <c r="D625" s="220" t="s">
        <v>239</v>
      </c>
      <c r="E625" s="220" t="s">
        <v>443</v>
      </c>
      <c r="F625" s="221"/>
      <c r="G625" s="222">
        <v>21239.3</v>
      </c>
      <c r="H625" s="222">
        <v>21239.3</v>
      </c>
      <c r="I625" s="222">
        <v>11239.3</v>
      </c>
      <c r="J625" s="214"/>
      <c r="K625" s="214"/>
      <c r="L625" s="214"/>
      <c r="M625" s="214"/>
      <c r="N625" s="214"/>
      <c r="O625" s="214"/>
      <c r="P625" s="214"/>
    </row>
    <row r="626" spans="1:16" ht="25.5">
      <c r="A626" s="220" t="s">
        <v>866</v>
      </c>
      <c r="B626" s="220" t="s">
        <v>76</v>
      </c>
      <c r="C626" s="220" t="s">
        <v>6</v>
      </c>
      <c r="D626" s="220" t="s">
        <v>239</v>
      </c>
      <c r="E626" s="220" t="s">
        <v>443</v>
      </c>
      <c r="F626" s="220" t="s">
        <v>316</v>
      </c>
      <c r="G626" s="222">
        <v>21239.3</v>
      </c>
      <c r="H626" s="222">
        <v>21239.3</v>
      </c>
      <c r="I626" s="222">
        <v>11239.3</v>
      </c>
      <c r="J626" s="214"/>
      <c r="K626" s="214"/>
      <c r="L626" s="214"/>
      <c r="M626" s="214"/>
      <c r="N626" s="214"/>
      <c r="O626" s="214"/>
      <c r="P626" s="214"/>
    </row>
    <row r="627" spans="1:16" ht="25.5">
      <c r="A627" s="220" t="s">
        <v>166</v>
      </c>
      <c r="B627" s="220" t="s">
        <v>167</v>
      </c>
      <c r="C627" s="221"/>
      <c r="D627" s="221"/>
      <c r="E627" s="221"/>
      <c r="F627" s="221"/>
      <c r="G627" s="222">
        <v>7847.59</v>
      </c>
      <c r="H627" s="222">
        <v>7827.59</v>
      </c>
      <c r="I627" s="222">
        <v>7827.59</v>
      </c>
      <c r="J627" s="214"/>
      <c r="K627" s="214"/>
      <c r="L627" s="214"/>
      <c r="M627" s="214"/>
      <c r="N627" s="214"/>
      <c r="O627" s="214"/>
      <c r="P627" s="214"/>
    </row>
    <row r="628" spans="1:16">
      <c r="A628" s="220" t="s">
        <v>533</v>
      </c>
      <c r="B628" s="220" t="s">
        <v>167</v>
      </c>
      <c r="C628" s="220" t="s">
        <v>239</v>
      </c>
      <c r="D628" s="221"/>
      <c r="E628" s="221"/>
      <c r="F628" s="221"/>
      <c r="G628" s="222">
        <v>7847.59</v>
      </c>
      <c r="H628" s="222">
        <v>7827.59</v>
      </c>
      <c r="I628" s="222">
        <v>7827.59</v>
      </c>
      <c r="J628" s="214"/>
      <c r="K628" s="214"/>
      <c r="L628" s="214"/>
      <c r="M628" s="214"/>
      <c r="N628" s="214"/>
      <c r="O628" s="214"/>
      <c r="P628" s="214"/>
    </row>
    <row r="629" spans="1:16" ht="63.75">
      <c r="A629" s="220" t="s">
        <v>598</v>
      </c>
      <c r="B629" s="220" t="s">
        <v>167</v>
      </c>
      <c r="C629" s="220" t="s">
        <v>239</v>
      </c>
      <c r="D629" s="220" t="s">
        <v>241</v>
      </c>
      <c r="E629" s="221"/>
      <c r="F629" s="221"/>
      <c r="G629" s="222">
        <v>7847.59</v>
      </c>
      <c r="H629" s="222">
        <v>7827.59</v>
      </c>
      <c r="I629" s="222">
        <v>7827.59</v>
      </c>
      <c r="J629" s="214"/>
      <c r="K629" s="214"/>
      <c r="L629" s="214"/>
      <c r="M629" s="214"/>
      <c r="N629" s="214"/>
      <c r="O629" s="214"/>
      <c r="P629" s="214"/>
    </row>
    <row r="630" spans="1:16" ht="51">
      <c r="A630" s="220" t="s">
        <v>599</v>
      </c>
      <c r="B630" s="220" t="s">
        <v>167</v>
      </c>
      <c r="C630" s="220" t="s">
        <v>239</v>
      </c>
      <c r="D630" s="220" t="s">
        <v>241</v>
      </c>
      <c r="E630" s="220" t="s">
        <v>454</v>
      </c>
      <c r="F630" s="221"/>
      <c r="G630" s="222">
        <v>7847.59</v>
      </c>
      <c r="H630" s="222">
        <v>7827.59</v>
      </c>
      <c r="I630" s="222">
        <v>7827.59</v>
      </c>
      <c r="J630" s="214"/>
      <c r="K630" s="214"/>
      <c r="L630" s="214"/>
      <c r="M630" s="214"/>
      <c r="N630" s="214"/>
      <c r="O630" s="214"/>
      <c r="P630" s="214"/>
    </row>
    <row r="631" spans="1:16" ht="25.5">
      <c r="A631" s="220" t="s">
        <v>600</v>
      </c>
      <c r="B631" s="220" t="s">
        <v>167</v>
      </c>
      <c r="C631" s="220" t="s">
        <v>239</v>
      </c>
      <c r="D631" s="220" t="s">
        <v>241</v>
      </c>
      <c r="E631" s="220" t="s">
        <v>455</v>
      </c>
      <c r="F631" s="221"/>
      <c r="G631" s="222">
        <v>7778.64</v>
      </c>
      <c r="H631" s="222">
        <v>7758.64</v>
      </c>
      <c r="I631" s="222">
        <v>7758.64</v>
      </c>
      <c r="J631" s="214"/>
      <c r="K631" s="214"/>
      <c r="L631" s="214"/>
      <c r="M631" s="214"/>
      <c r="N631" s="214"/>
      <c r="O631" s="214"/>
      <c r="P631" s="214"/>
    </row>
    <row r="632" spans="1:16" ht="76.5">
      <c r="A632" s="220" t="s">
        <v>1236</v>
      </c>
      <c r="B632" s="220" t="s">
        <v>167</v>
      </c>
      <c r="C632" s="220" t="s">
        <v>239</v>
      </c>
      <c r="D632" s="220" t="s">
        <v>241</v>
      </c>
      <c r="E632" s="220" t="s">
        <v>1221</v>
      </c>
      <c r="F632" s="221"/>
      <c r="G632" s="222">
        <v>25</v>
      </c>
      <c r="H632" s="222">
        <v>25</v>
      </c>
      <c r="I632" s="222">
        <v>25</v>
      </c>
      <c r="J632" s="214"/>
      <c r="K632" s="214"/>
      <c r="L632" s="214"/>
      <c r="M632" s="214"/>
      <c r="N632" s="214"/>
      <c r="O632" s="214"/>
      <c r="P632" s="214"/>
    </row>
    <row r="633" spans="1:16" ht="38.25">
      <c r="A633" s="220" t="s">
        <v>833</v>
      </c>
      <c r="B633" s="220" t="s">
        <v>167</v>
      </c>
      <c r="C633" s="220" t="s">
        <v>239</v>
      </c>
      <c r="D633" s="220" t="s">
        <v>241</v>
      </c>
      <c r="E633" s="220" t="s">
        <v>1221</v>
      </c>
      <c r="F633" s="220" t="s">
        <v>313</v>
      </c>
      <c r="G633" s="222">
        <v>25</v>
      </c>
      <c r="H633" s="222">
        <v>25</v>
      </c>
      <c r="I633" s="222">
        <v>25</v>
      </c>
      <c r="J633" s="214"/>
      <c r="K633" s="214"/>
      <c r="L633" s="214"/>
      <c r="M633" s="214"/>
      <c r="N633" s="214"/>
      <c r="O633" s="214"/>
      <c r="P633" s="214"/>
    </row>
    <row r="634" spans="1:16" ht="25.5">
      <c r="A634" s="220" t="s">
        <v>908</v>
      </c>
      <c r="B634" s="220" t="s">
        <v>167</v>
      </c>
      <c r="C634" s="220" t="s">
        <v>239</v>
      </c>
      <c r="D634" s="220" t="s">
        <v>241</v>
      </c>
      <c r="E634" s="220" t="s">
        <v>456</v>
      </c>
      <c r="F634" s="221"/>
      <c r="G634" s="222">
        <v>1137.1780000000001</v>
      </c>
      <c r="H634" s="222">
        <v>1137.1780000000001</v>
      </c>
      <c r="I634" s="222">
        <v>1137.1780000000001</v>
      </c>
      <c r="J634" s="214"/>
      <c r="K634" s="214"/>
      <c r="L634" s="214"/>
      <c r="M634" s="214"/>
      <c r="N634" s="214"/>
      <c r="O634" s="214"/>
      <c r="P634" s="214"/>
    </row>
    <row r="635" spans="1:16" ht="76.5">
      <c r="A635" s="220" t="s">
        <v>848</v>
      </c>
      <c r="B635" s="220" t="s">
        <v>167</v>
      </c>
      <c r="C635" s="220" t="s">
        <v>239</v>
      </c>
      <c r="D635" s="220" t="s">
        <v>241</v>
      </c>
      <c r="E635" s="220" t="s">
        <v>456</v>
      </c>
      <c r="F635" s="220" t="s">
        <v>312</v>
      </c>
      <c r="G635" s="222">
        <v>1137.1780000000001</v>
      </c>
      <c r="H635" s="222">
        <v>1137.1780000000001</v>
      </c>
      <c r="I635" s="222">
        <v>1137.1780000000001</v>
      </c>
      <c r="J635" s="214"/>
      <c r="K635" s="214"/>
      <c r="L635" s="214"/>
      <c r="M635" s="214"/>
      <c r="N635" s="214"/>
      <c r="O635" s="214"/>
      <c r="P635" s="214"/>
    </row>
    <row r="636" spans="1:16" ht="38.25">
      <c r="A636" s="220" t="s">
        <v>909</v>
      </c>
      <c r="B636" s="220" t="s">
        <v>167</v>
      </c>
      <c r="C636" s="220" t="s">
        <v>239</v>
      </c>
      <c r="D636" s="220" t="s">
        <v>241</v>
      </c>
      <c r="E636" s="220" t="s">
        <v>457</v>
      </c>
      <c r="F636" s="221"/>
      <c r="G636" s="222">
        <v>5736.4560000000001</v>
      </c>
      <c r="H636" s="222">
        <v>5716.4560000000001</v>
      </c>
      <c r="I636" s="222">
        <v>5716.4560000000001</v>
      </c>
      <c r="J636" s="214"/>
      <c r="K636" s="214"/>
      <c r="L636" s="214"/>
      <c r="M636" s="214"/>
      <c r="N636" s="214"/>
      <c r="O636" s="214"/>
      <c r="P636" s="214"/>
    </row>
    <row r="637" spans="1:16" ht="76.5">
      <c r="A637" s="220" t="s">
        <v>848</v>
      </c>
      <c r="B637" s="220" t="s">
        <v>167</v>
      </c>
      <c r="C637" s="220" t="s">
        <v>239</v>
      </c>
      <c r="D637" s="220" t="s">
        <v>241</v>
      </c>
      <c r="E637" s="220" t="s">
        <v>457</v>
      </c>
      <c r="F637" s="220" t="s">
        <v>312</v>
      </c>
      <c r="G637" s="222">
        <v>3503.232</v>
      </c>
      <c r="H637" s="222">
        <v>3503.232</v>
      </c>
      <c r="I637" s="222">
        <v>3503.232</v>
      </c>
      <c r="J637" s="214"/>
      <c r="K637" s="214"/>
      <c r="L637" s="214"/>
      <c r="M637" s="214"/>
      <c r="N637" s="214"/>
      <c r="O637" s="214"/>
      <c r="P637" s="214"/>
    </row>
    <row r="638" spans="1:16" ht="38.25">
      <c r="A638" s="220" t="s">
        <v>833</v>
      </c>
      <c r="B638" s="220" t="s">
        <v>167</v>
      </c>
      <c r="C638" s="220" t="s">
        <v>239</v>
      </c>
      <c r="D638" s="220" t="s">
        <v>241</v>
      </c>
      <c r="E638" s="220" t="s">
        <v>457</v>
      </c>
      <c r="F638" s="220" t="s">
        <v>313</v>
      </c>
      <c r="G638" s="222">
        <v>2138.924</v>
      </c>
      <c r="H638" s="222">
        <v>2118.924</v>
      </c>
      <c r="I638" s="222">
        <v>2118.924</v>
      </c>
      <c r="J638" s="214"/>
      <c r="K638" s="214"/>
      <c r="L638" s="214"/>
      <c r="M638" s="214"/>
      <c r="N638" s="214"/>
      <c r="O638" s="214"/>
      <c r="P638" s="214"/>
    </row>
    <row r="639" spans="1:16">
      <c r="A639" s="220" t="s">
        <v>849</v>
      </c>
      <c r="B639" s="220" t="s">
        <v>167</v>
      </c>
      <c r="C639" s="220" t="s">
        <v>239</v>
      </c>
      <c r="D639" s="220" t="s">
        <v>241</v>
      </c>
      <c r="E639" s="220" t="s">
        <v>457</v>
      </c>
      <c r="F639" s="220" t="s">
        <v>314</v>
      </c>
      <c r="G639" s="222">
        <v>94.3</v>
      </c>
      <c r="H639" s="222">
        <v>94.3</v>
      </c>
      <c r="I639" s="222">
        <v>94.3</v>
      </c>
      <c r="J639" s="214"/>
      <c r="K639" s="214"/>
      <c r="L639" s="214"/>
      <c r="M639" s="214"/>
      <c r="N639" s="214"/>
      <c r="O639" s="214"/>
      <c r="P639" s="214"/>
    </row>
    <row r="640" spans="1:16" ht="38.25">
      <c r="A640" s="220" t="s">
        <v>910</v>
      </c>
      <c r="B640" s="220" t="s">
        <v>167</v>
      </c>
      <c r="C640" s="220" t="s">
        <v>239</v>
      </c>
      <c r="D640" s="220" t="s">
        <v>241</v>
      </c>
      <c r="E640" s="220" t="s">
        <v>458</v>
      </c>
      <c r="F640" s="221"/>
      <c r="G640" s="222">
        <v>880.00599999999997</v>
      </c>
      <c r="H640" s="222">
        <v>880.00599999999997</v>
      </c>
      <c r="I640" s="222">
        <v>880.00599999999997</v>
      </c>
      <c r="J640" s="214"/>
      <c r="K640" s="214"/>
      <c r="L640" s="214"/>
      <c r="M640" s="214"/>
      <c r="N640" s="214"/>
      <c r="O640" s="214"/>
      <c r="P640" s="214"/>
    </row>
    <row r="641" spans="1:16" ht="76.5">
      <c r="A641" s="220" t="s">
        <v>848</v>
      </c>
      <c r="B641" s="220" t="s">
        <v>167</v>
      </c>
      <c r="C641" s="220" t="s">
        <v>239</v>
      </c>
      <c r="D641" s="220" t="s">
        <v>241</v>
      </c>
      <c r="E641" s="220" t="s">
        <v>458</v>
      </c>
      <c r="F641" s="220" t="s">
        <v>312</v>
      </c>
      <c r="G641" s="222">
        <v>880.00599999999997</v>
      </c>
      <c r="H641" s="222">
        <v>880.00599999999997</v>
      </c>
      <c r="I641" s="222">
        <v>880.00599999999997</v>
      </c>
      <c r="J641" s="214"/>
      <c r="K641" s="214"/>
      <c r="L641" s="214"/>
      <c r="M641" s="214"/>
      <c r="N641" s="214"/>
      <c r="O641" s="214"/>
      <c r="P641" s="214"/>
    </row>
    <row r="642" spans="1:16">
      <c r="A642" s="220" t="s">
        <v>574</v>
      </c>
      <c r="B642" s="220" t="s">
        <v>167</v>
      </c>
      <c r="C642" s="220" t="s">
        <v>239</v>
      </c>
      <c r="D642" s="220" t="s">
        <v>241</v>
      </c>
      <c r="E642" s="220" t="s">
        <v>459</v>
      </c>
      <c r="F642" s="221"/>
      <c r="G642" s="222">
        <v>68.95</v>
      </c>
      <c r="H642" s="222">
        <v>68.95</v>
      </c>
      <c r="I642" s="222">
        <v>68.95</v>
      </c>
      <c r="J642" s="214"/>
      <c r="K642" s="214"/>
      <c r="L642" s="214"/>
      <c r="M642" s="214"/>
      <c r="N642" s="214"/>
      <c r="O642" s="214"/>
      <c r="P642" s="214"/>
    </row>
    <row r="643" spans="1:16" ht="25.5">
      <c r="A643" s="220" t="s">
        <v>911</v>
      </c>
      <c r="B643" s="220" t="s">
        <v>167</v>
      </c>
      <c r="C643" s="220" t="s">
        <v>239</v>
      </c>
      <c r="D643" s="220" t="s">
        <v>241</v>
      </c>
      <c r="E643" s="220" t="s">
        <v>460</v>
      </c>
      <c r="F643" s="221"/>
      <c r="G643" s="222">
        <v>68.95</v>
      </c>
      <c r="H643" s="222">
        <v>68.95</v>
      </c>
      <c r="I643" s="222">
        <v>68.95</v>
      </c>
      <c r="J643" s="214"/>
      <c r="K643" s="214"/>
      <c r="L643" s="214"/>
      <c r="M643" s="214"/>
      <c r="N643" s="214"/>
      <c r="O643" s="214"/>
      <c r="P643" s="214"/>
    </row>
    <row r="644" spans="1:16" ht="38.25">
      <c r="A644" s="220" t="s">
        <v>833</v>
      </c>
      <c r="B644" s="220" t="s">
        <v>167</v>
      </c>
      <c r="C644" s="220" t="s">
        <v>239</v>
      </c>
      <c r="D644" s="220" t="s">
        <v>241</v>
      </c>
      <c r="E644" s="220" t="s">
        <v>460</v>
      </c>
      <c r="F644" s="220" t="s">
        <v>313</v>
      </c>
      <c r="G644" s="222">
        <v>68.95</v>
      </c>
      <c r="H644" s="222">
        <v>68.95</v>
      </c>
      <c r="I644" s="222">
        <v>68.95</v>
      </c>
      <c r="J644" s="214"/>
      <c r="K644" s="214"/>
      <c r="L644" s="214"/>
      <c r="M644" s="214"/>
      <c r="N644" s="214"/>
      <c r="O644" s="214"/>
      <c r="P644" s="214"/>
    </row>
    <row r="645" spans="1:16" ht="25.5">
      <c r="A645" s="220" t="s">
        <v>168</v>
      </c>
      <c r="B645" s="220" t="s">
        <v>169</v>
      </c>
      <c r="C645" s="221"/>
      <c r="D645" s="221"/>
      <c r="E645" s="221"/>
      <c r="F645" s="221"/>
      <c r="G645" s="222">
        <v>2025.048</v>
      </c>
      <c r="H645" s="222">
        <v>2020.048</v>
      </c>
      <c r="I645" s="222">
        <v>2020.048</v>
      </c>
      <c r="J645" s="214"/>
      <c r="K645" s="214"/>
      <c r="L645" s="214"/>
      <c r="M645" s="214"/>
      <c r="N645" s="214"/>
      <c r="O645" s="214"/>
      <c r="P645" s="214"/>
    </row>
    <row r="646" spans="1:16">
      <c r="A646" s="220" t="s">
        <v>533</v>
      </c>
      <c r="B646" s="220" t="s">
        <v>169</v>
      </c>
      <c r="C646" s="220" t="s">
        <v>239</v>
      </c>
      <c r="D646" s="221"/>
      <c r="E646" s="221"/>
      <c r="F646" s="221"/>
      <c r="G646" s="222">
        <v>2025.048</v>
      </c>
      <c r="H646" s="222">
        <v>2020.048</v>
      </c>
      <c r="I646" s="222">
        <v>2020.048</v>
      </c>
      <c r="J646" s="214"/>
      <c r="K646" s="214"/>
      <c r="L646" s="214"/>
      <c r="M646" s="214"/>
      <c r="N646" s="214"/>
      <c r="O646" s="214"/>
      <c r="P646" s="214"/>
    </row>
    <row r="647" spans="1:16" ht="51">
      <c r="A647" s="220" t="s">
        <v>560</v>
      </c>
      <c r="B647" s="220" t="s">
        <v>169</v>
      </c>
      <c r="C647" s="220" t="s">
        <v>239</v>
      </c>
      <c r="D647" s="220" t="s">
        <v>243</v>
      </c>
      <c r="E647" s="221"/>
      <c r="F647" s="221"/>
      <c r="G647" s="222">
        <v>2025.048</v>
      </c>
      <c r="H647" s="222">
        <v>2020.048</v>
      </c>
      <c r="I647" s="222">
        <v>2020.048</v>
      </c>
      <c r="J647" s="214"/>
      <c r="K647" s="214"/>
      <c r="L647" s="214"/>
      <c r="M647" s="214"/>
      <c r="N647" s="214"/>
      <c r="O647" s="214"/>
      <c r="P647" s="214"/>
    </row>
    <row r="648" spans="1:16" ht="51">
      <c r="A648" s="220" t="s">
        <v>601</v>
      </c>
      <c r="B648" s="220" t="s">
        <v>169</v>
      </c>
      <c r="C648" s="220" t="s">
        <v>239</v>
      </c>
      <c r="D648" s="220" t="s">
        <v>243</v>
      </c>
      <c r="E648" s="220" t="s">
        <v>461</v>
      </c>
      <c r="F648" s="221"/>
      <c r="G648" s="222">
        <v>2025.048</v>
      </c>
      <c r="H648" s="222">
        <v>2020.048</v>
      </c>
      <c r="I648" s="222">
        <v>2020.048</v>
      </c>
      <c r="J648" s="214"/>
      <c r="K648" s="214"/>
      <c r="L648" s="214"/>
      <c r="M648" s="214"/>
      <c r="N648" s="214"/>
      <c r="O648" s="214"/>
      <c r="P648" s="214"/>
    </row>
    <row r="649" spans="1:16" ht="25.5">
      <c r="A649" s="220" t="s">
        <v>602</v>
      </c>
      <c r="B649" s="220" t="s">
        <v>169</v>
      </c>
      <c r="C649" s="220" t="s">
        <v>239</v>
      </c>
      <c r="D649" s="220" t="s">
        <v>243</v>
      </c>
      <c r="E649" s="220" t="s">
        <v>462</v>
      </c>
      <c r="F649" s="221"/>
      <c r="G649" s="222">
        <v>2025.048</v>
      </c>
      <c r="H649" s="222">
        <v>2020.048</v>
      </c>
      <c r="I649" s="222">
        <v>2020.048</v>
      </c>
      <c r="J649" s="214"/>
      <c r="K649" s="214"/>
      <c r="L649" s="214"/>
      <c r="M649" s="214"/>
      <c r="N649" s="214"/>
      <c r="O649" s="214"/>
      <c r="P649" s="214"/>
    </row>
    <row r="650" spans="1:16" ht="76.5">
      <c r="A650" s="220" t="s">
        <v>1236</v>
      </c>
      <c r="B650" s="220" t="s">
        <v>169</v>
      </c>
      <c r="C650" s="220" t="s">
        <v>239</v>
      </c>
      <c r="D650" s="220" t="s">
        <v>243</v>
      </c>
      <c r="E650" s="220" t="s">
        <v>1222</v>
      </c>
      <c r="F650" s="221"/>
      <c r="G650" s="222">
        <v>12</v>
      </c>
      <c r="H650" s="222">
        <v>12</v>
      </c>
      <c r="I650" s="222">
        <v>12</v>
      </c>
      <c r="J650" s="214"/>
      <c r="K650" s="214"/>
      <c r="L650" s="214"/>
      <c r="M650" s="214"/>
      <c r="N650" s="214"/>
      <c r="O650" s="214"/>
      <c r="P650" s="214"/>
    </row>
    <row r="651" spans="1:16" ht="38.25">
      <c r="A651" s="220" t="s">
        <v>833</v>
      </c>
      <c r="B651" s="220" t="s">
        <v>169</v>
      </c>
      <c r="C651" s="220" t="s">
        <v>239</v>
      </c>
      <c r="D651" s="220" t="s">
        <v>243</v>
      </c>
      <c r="E651" s="220" t="s">
        <v>1222</v>
      </c>
      <c r="F651" s="220" t="s">
        <v>313</v>
      </c>
      <c r="G651" s="222">
        <v>12</v>
      </c>
      <c r="H651" s="222">
        <v>12</v>
      </c>
      <c r="I651" s="222">
        <v>12</v>
      </c>
      <c r="J651" s="214"/>
      <c r="K651" s="214"/>
      <c r="L651" s="214"/>
      <c r="M651" s="214"/>
      <c r="N651" s="214"/>
      <c r="O651" s="214"/>
      <c r="P651" s="214"/>
    </row>
    <row r="652" spans="1:16" ht="38.25">
      <c r="A652" s="220" t="s">
        <v>912</v>
      </c>
      <c r="B652" s="220" t="s">
        <v>169</v>
      </c>
      <c r="C652" s="220" t="s">
        <v>239</v>
      </c>
      <c r="D652" s="220" t="s">
        <v>243</v>
      </c>
      <c r="E652" s="220" t="s">
        <v>463</v>
      </c>
      <c r="F652" s="221"/>
      <c r="G652" s="222">
        <v>699.51800000000003</v>
      </c>
      <c r="H652" s="222">
        <v>699.51800000000003</v>
      </c>
      <c r="I652" s="222">
        <v>699.51800000000003</v>
      </c>
      <c r="J652" s="214"/>
      <c r="K652" s="214"/>
      <c r="L652" s="214"/>
      <c r="M652" s="214"/>
      <c r="N652" s="214"/>
      <c r="O652" s="214"/>
      <c r="P652" s="214"/>
    </row>
    <row r="653" spans="1:16" ht="76.5">
      <c r="A653" s="220" t="s">
        <v>848</v>
      </c>
      <c r="B653" s="220" t="s">
        <v>169</v>
      </c>
      <c r="C653" s="220" t="s">
        <v>239</v>
      </c>
      <c r="D653" s="220" t="s">
        <v>243</v>
      </c>
      <c r="E653" s="220" t="s">
        <v>463</v>
      </c>
      <c r="F653" s="220" t="s">
        <v>312</v>
      </c>
      <c r="G653" s="222">
        <v>699.51800000000003</v>
      </c>
      <c r="H653" s="222">
        <v>699.51800000000003</v>
      </c>
      <c r="I653" s="222">
        <v>699.51800000000003</v>
      </c>
      <c r="J653" s="214"/>
      <c r="K653" s="214"/>
      <c r="L653" s="214"/>
      <c r="M653" s="214"/>
      <c r="N653" s="214"/>
      <c r="O653" s="214"/>
      <c r="P653" s="214"/>
    </row>
    <row r="654" spans="1:16" ht="38.25">
      <c r="A654" s="220" t="s">
        <v>913</v>
      </c>
      <c r="B654" s="220" t="s">
        <v>169</v>
      </c>
      <c r="C654" s="220" t="s">
        <v>239</v>
      </c>
      <c r="D654" s="220" t="s">
        <v>243</v>
      </c>
      <c r="E654" s="220" t="s">
        <v>464</v>
      </c>
      <c r="F654" s="221"/>
      <c r="G654" s="222">
        <v>1313.53</v>
      </c>
      <c r="H654" s="222">
        <v>1308.53</v>
      </c>
      <c r="I654" s="222">
        <v>1308.53</v>
      </c>
      <c r="J654" s="214"/>
      <c r="K654" s="214"/>
      <c r="L654" s="214"/>
      <c r="M654" s="214"/>
      <c r="N654" s="214"/>
      <c r="O654" s="214"/>
      <c r="P654" s="214"/>
    </row>
    <row r="655" spans="1:16" ht="76.5">
      <c r="A655" s="220" t="s">
        <v>848</v>
      </c>
      <c r="B655" s="220" t="s">
        <v>169</v>
      </c>
      <c r="C655" s="220" t="s">
        <v>239</v>
      </c>
      <c r="D655" s="220" t="s">
        <v>243</v>
      </c>
      <c r="E655" s="220" t="s">
        <v>464</v>
      </c>
      <c r="F655" s="220" t="s">
        <v>312</v>
      </c>
      <c r="G655" s="222">
        <v>1106.04</v>
      </c>
      <c r="H655" s="222">
        <v>1106.04</v>
      </c>
      <c r="I655" s="222">
        <v>1106.04</v>
      </c>
      <c r="J655" s="214"/>
      <c r="K655" s="214"/>
      <c r="L655" s="214"/>
      <c r="M655" s="214"/>
      <c r="N655" s="214"/>
      <c r="O655" s="214"/>
      <c r="P655" s="214"/>
    </row>
    <row r="656" spans="1:16" ht="38.25">
      <c r="A656" s="220" t="s">
        <v>833</v>
      </c>
      <c r="B656" s="220" t="s">
        <v>169</v>
      </c>
      <c r="C656" s="220" t="s">
        <v>239</v>
      </c>
      <c r="D656" s="220" t="s">
        <v>243</v>
      </c>
      <c r="E656" s="220" t="s">
        <v>464</v>
      </c>
      <c r="F656" s="220" t="s">
        <v>313</v>
      </c>
      <c r="G656" s="222">
        <v>196.49</v>
      </c>
      <c r="H656" s="222">
        <v>191.49</v>
      </c>
      <c r="I656" s="222">
        <v>191.49</v>
      </c>
      <c r="J656" s="214"/>
      <c r="K656" s="214"/>
      <c r="L656" s="214"/>
      <c r="M656" s="214"/>
      <c r="N656" s="214"/>
      <c r="O656" s="214"/>
      <c r="P656" s="214"/>
    </row>
    <row r="657" spans="1:16">
      <c r="A657" s="220" t="s">
        <v>849</v>
      </c>
      <c r="B657" s="220" t="s">
        <v>169</v>
      </c>
      <c r="C657" s="220" t="s">
        <v>239</v>
      </c>
      <c r="D657" s="220" t="s">
        <v>243</v>
      </c>
      <c r="E657" s="220" t="s">
        <v>464</v>
      </c>
      <c r="F657" s="220" t="s">
        <v>314</v>
      </c>
      <c r="G657" s="222">
        <v>11</v>
      </c>
      <c r="H657" s="222">
        <v>11</v>
      </c>
      <c r="I657" s="222">
        <v>11</v>
      </c>
      <c r="J657" s="214"/>
      <c r="K657" s="214"/>
      <c r="L657" s="214"/>
      <c r="M657" s="214"/>
      <c r="N657" s="214"/>
      <c r="O657" s="214"/>
      <c r="P657" s="214"/>
    </row>
    <row r="658" spans="1:16" ht="38.25">
      <c r="A658" s="220" t="s">
        <v>332</v>
      </c>
      <c r="B658" s="220" t="s">
        <v>45</v>
      </c>
      <c r="C658" s="221"/>
      <c r="D658" s="221"/>
      <c r="E658" s="221"/>
      <c r="F658" s="221"/>
      <c r="G658" s="222">
        <v>12006.835580000001</v>
      </c>
      <c r="H658" s="222">
        <v>10975.182000000001</v>
      </c>
      <c r="I658" s="222">
        <v>10975.182000000001</v>
      </c>
      <c r="J658" s="214"/>
      <c r="K658" s="214"/>
      <c r="L658" s="214"/>
      <c r="M658" s="214"/>
      <c r="N658" s="214"/>
      <c r="O658" s="214"/>
      <c r="P658" s="214"/>
    </row>
    <row r="659" spans="1:16">
      <c r="A659" s="220" t="s">
        <v>533</v>
      </c>
      <c r="B659" s="220" t="s">
        <v>45</v>
      </c>
      <c r="C659" s="220" t="s">
        <v>239</v>
      </c>
      <c r="D659" s="221"/>
      <c r="E659" s="221"/>
      <c r="F659" s="221"/>
      <c r="G659" s="222">
        <v>12006.835580000001</v>
      </c>
      <c r="H659" s="222">
        <v>10975.182000000001</v>
      </c>
      <c r="I659" s="222">
        <v>10975.182000000001</v>
      </c>
      <c r="J659" s="214"/>
      <c r="K659" s="214"/>
      <c r="L659" s="214"/>
      <c r="M659" s="214"/>
      <c r="N659" s="214"/>
      <c r="O659" s="214"/>
      <c r="P659" s="214"/>
    </row>
    <row r="660" spans="1:16">
      <c r="A660" s="220" t="s">
        <v>534</v>
      </c>
      <c r="B660" s="220" t="s">
        <v>45</v>
      </c>
      <c r="C660" s="220" t="s">
        <v>239</v>
      </c>
      <c r="D660" s="220" t="s">
        <v>6</v>
      </c>
      <c r="E660" s="221"/>
      <c r="F660" s="221"/>
      <c r="G660" s="222">
        <v>12006.835580000001</v>
      </c>
      <c r="H660" s="222">
        <v>10975.182000000001</v>
      </c>
      <c r="I660" s="222">
        <v>10975.182000000001</v>
      </c>
      <c r="J660" s="214"/>
      <c r="K660" s="214"/>
      <c r="L660" s="214"/>
      <c r="M660" s="214"/>
      <c r="N660" s="214"/>
      <c r="O660" s="214"/>
      <c r="P660" s="214"/>
    </row>
    <row r="661" spans="1:16" ht="76.5">
      <c r="A661" s="220" t="s">
        <v>1288</v>
      </c>
      <c r="B661" s="220" t="s">
        <v>45</v>
      </c>
      <c r="C661" s="220" t="s">
        <v>239</v>
      </c>
      <c r="D661" s="220" t="s">
        <v>6</v>
      </c>
      <c r="E661" s="220" t="s">
        <v>425</v>
      </c>
      <c r="F661" s="221"/>
      <c r="G661" s="222">
        <v>1550</v>
      </c>
      <c r="H661" s="222">
        <v>1550</v>
      </c>
      <c r="I661" s="222">
        <v>1550</v>
      </c>
      <c r="J661" s="214"/>
      <c r="K661" s="214"/>
      <c r="L661" s="214"/>
      <c r="M661" s="214"/>
      <c r="N661" s="214"/>
      <c r="O661" s="214"/>
      <c r="P661" s="214"/>
    </row>
    <row r="662" spans="1:16" ht="38.25">
      <c r="A662" s="220" t="s">
        <v>915</v>
      </c>
      <c r="B662" s="220" t="s">
        <v>45</v>
      </c>
      <c r="C662" s="220" t="s">
        <v>239</v>
      </c>
      <c r="D662" s="220" t="s">
        <v>6</v>
      </c>
      <c r="E662" s="220" t="s">
        <v>1157</v>
      </c>
      <c r="F662" s="221"/>
      <c r="G662" s="222">
        <v>1550</v>
      </c>
      <c r="H662" s="222">
        <v>1550</v>
      </c>
      <c r="I662" s="222">
        <v>1550</v>
      </c>
      <c r="J662" s="214"/>
      <c r="K662" s="214"/>
      <c r="L662" s="214"/>
      <c r="M662" s="214"/>
      <c r="N662" s="214"/>
      <c r="O662" s="214"/>
      <c r="P662" s="214"/>
    </row>
    <row r="663" spans="1:16" ht="63.75">
      <c r="A663" s="220" t="s">
        <v>1289</v>
      </c>
      <c r="B663" s="220" t="s">
        <v>45</v>
      </c>
      <c r="C663" s="220" t="s">
        <v>239</v>
      </c>
      <c r="D663" s="220" t="s">
        <v>6</v>
      </c>
      <c r="E663" s="220" t="s">
        <v>1159</v>
      </c>
      <c r="F663" s="221"/>
      <c r="G663" s="222">
        <v>1550</v>
      </c>
      <c r="H663" s="222">
        <v>1550</v>
      </c>
      <c r="I663" s="222">
        <v>1550</v>
      </c>
      <c r="J663" s="214"/>
      <c r="K663" s="214"/>
      <c r="L663" s="214"/>
      <c r="M663" s="214"/>
      <c r="N663" s="214"/>
      <c r="O663" s="214"/>
      <c r="P663" s="214"/>
    </row>
    <row r="664" spans="1:16" ht="38.25">
      <c r="A664" s="220" t="s">
        <v>833</v>
      </c>
      <c r="B664" s="220" t="s">
        <v>45</v>
      </c>
      <c r="C664" s="220" t="s">
        <v>239</v>
      </c>
      <c r="D664" s="220" t="s">
        <v>6</v>
      </c>
      <c r="E664" s="220" t="s">
        <v>1159</v>
      </c>
      <c r="F664" s="220" t="s">
        <v>313</v>
      </c>
      <c r="G664" s="222">
        <v>1550</v>
      </c>
      <c r="H664" s="222">
        <v>1550</v>
      </c>
      <c r="I664" s="222">
        <v>1550</v>
      </c>
      <c r="J664" s="214"/>
      <c r="K664" s="214"/>
      <c r="L664" s="214"/>
      <c r="M664" s="214"/>
      <c r="N664" s="214"/>
      <c r="O664" s="214"/>
      <c r="P664" s="214"/>
    </row>
    <row r="665" spans="1:16" ht="51">
      <c r="A665" s="220" t="s">
        <v>603</v>
      </c>
      <c r="B665" s="220" t="s">
        <v>45</v>
      </c>
      <c r="C665" s="220" t="s">
        <v>239</v>
      </c>
      <c r="D665" s="220" t="s">
        <v>6</v>
      </c>
      <c r="E665" s="220" t="s">
        <v>426</v>
      </c>
      <c r="F665" s="221"/>
      <c r="G665" s="222">
        <v>9493.5009100000007</v>
      </c>
      <c r="H665" s="222">
        <v>9425.1820000000007</v>
      </c>
      <c r="I665" s="222">
        <v>9425.1820000000007</v>
      </c>
      <c r="J665" s="214"/>
      <c r="K665" s="214"/>
      <c r="L665" s="214"/>
      <c r="M665" s="214"/>
      <c r="N665" s="214"/>
      <c r="O665" s="214"/>
      <c r="P665" s="214"/>
    </row>
    <row r="666" spans="1:16" ht="51">
      <c r="A666" s="220" t="s">
        <v>604</v>
      </c>
      <c r="B666" s="220" t="s">
        <v>45</v>
      </c>
      <c r="C666" s="220" t="s">
        <v>239</v>
      </c>
      <c r="D666" s="220" t="s">
        <v>6</v>
      </c>
      <c r="E666" s="220" t="s">
        <v>427</v>
      </c>
      <c r="F666" s="221"/>
      <c r="G666" s="222">
        <v>5279.0050000000001</v>
      </c>
      <c r="H666" s="222">
        <v>5279.0050000000001</v>
      </c>
      <c r="I666" s="222">
        <v>5279.0050000000001</v>
      </c>
      <c r="J666" s="214"/>
      <c r="K666" s="214"/>
      <c r="L666" s="214"/>
      <c r="M666" s="214"/>
      <c r="N666" s="214"/>
      <c r="O666" s="214"/>
      <c r="P666" s="214"/>
    </row>
    <row r="667" spans="1:16" ht="51">
      <c r="A667" s="220" t="s">
        <v>914</v>
      </c>
      <c r="B667" s="220" t="s">
        <v>45</v>
      </c>
      <c r="C667" s="220" t="s">
        <v>239</v>
      </c>
      <c r="D667" s="220" t="s">
        <v>6</v>
      </c>
      <c r="E667" s="220" t="s">
        <v>428</v>
      </c>
      <c r="F667" s="221"/>
      <c r="G667" s="222">
        <v>5279.0050000000001</v>
      </c>
      <c r="H667" s="222">
        <v>5279.0050000000001</v>
      </c>
      <c r="I667" s="222">
        <v>5279.0050000000001</v>
      </c>
      <c r="J667" s="214"/>
      <c r="K667" s="214"/>
      <c r="L667" s="214"/>
      <c r="M667" s="214"/>
      <c r="N667" s="214"/>
      <c r="O667" s="214"/>
      <c r="P667" s="214"/>
    </row>
    <row r="668" spans="1:16" ht="51">
      <c r="A668" s="220" t="s">
        <v>1235</v>
      </c>
      <c r="B668" s="220" t="s">
        <v>45</v>
      </c>
      <c r="C668" s="220" t="s">
        <v>239</v>
      </c>
      <c r="D668" s="220" t="s">
        <v>6</v>
      </c>
      <c r="E668" s="220" t="s">
        <v>1160</v>
      </c>
      <c r="F668" s="221"/>
      <c r="G668" s="222">
        <v>5227.4049999999997</v>
      </c>
      <c r="H668" s="222">
        <v>5227.4049999999997</v>
      </c>
      <c r="I668" s="222">
        <v>5227.4049999999997</v>
      </c>
      <c r="J668" s="214"/>
      <c r="K668" s="214"/>
      <c r="L668" s="214"/>
      <c r="M668" s="214"/>
      <c r="N668" s="214"/>
      <c r="O668" s="214"/>
      <c r="P668" s="214"/>
    </row>
    <row r="669" spans="1:16" ht="76.5">
      <c r="A669" s="220" t="s">
        <v>848</v>
      </c>
      <c r="B669" s="220" t="s">
        <v>45</v>
      </c>
      <c r="C669" s="220" t="s">
        <v>239</v>
      </c>
      <c r="D669" s="220" t="s">
        <v>6</v>
      </c>
      <c r="E669" s="220" t="s">
        <v>1160</v>
      </c>
      <c r="F669" s="220" t="s">
        <v>312</v>
      </c>
      <c r="G669" s="222">
        <v>4800.1270000000004</v>
      </c>
      <c r="H669" s="222">
        <v>4800.1270000000004</v>
      </c>
      <c r="I669" s="222">
        <v>4800.1270000000004</v>
      </c>
      <c r="J669" s="214"/>
      <c r="K669" s="214"/>
      <c r="L669" s="214"/>
      <c r="M669" s="214"/>
      <c r="N669" s="214"/>
      <c r="O669" s="214"/>
      <c r="P669" s="214"/>
    </row>
    <row r="670" spans="1:16" ht="38.25">
      <c r="A670" s="220" t="s">
        <v>833</v>
      </c>
      <c r="B670" s="220" t="s">
        <v>45</v>
      </c>
      <c r="C670" s="220" t="s">
        <v>239</v>
      </c>
      <c r="D670" s="220" t="s">
        <v>6</v>
      </c>
      <c r="E670" s="220" t="s">
        <v>1160</v>
      </c>
      <c r="F670" s="220" t="s">
        <v>313</v>
      </c>
      <c r="G670" s="222">
        <v>422.27800000000002</v>
      </c>
      <c r="H670" s="222">
        <v>422.27800000000002</v>
      </c>
      <c r="I670" s="222">
        <v>422.27800000000002</v>
      </c>
      <c r="J670" s="214"/>
      <c r="K670" s="214"/>
      <c r="L670" s="214"/>
      <c r="M670" s="214"/>
      <c r="N670" s="214"/>
      <c r="O670" s="214"/>
      <c r="P670" s="214"/>
    </row>
    <row r="671" spans="1:16">
      <c r="A671" s="220" t="s">
        <v>849</v>
      </c>
      <c r="B671" s="220" t="s">
        <v>45</v>
      </c>
      <c r="C671" s="220" t="s">
        <v>239</v>
      </c>
      <c r="D671" s="220" t="s">
        <v>6</v>
      </c>
      <c r="E671" s="220" t="s">
        <v>1160</v>
      </c>
      <c r="F671" s="220" t="s">
        <v>314</v>
      </c>
      <c r="G671" s="222">
        <v>5</v>
      </c>
      <c r="H671" s="222">
        <v>5</v>
      </c>
      <c r="I671" s="222">
        <v>5</v>
      </c>
      <c r="J671" s="214"/>
      <c r="K671" s="214"/>
      <c r="L671" s="214"/>
      <c r="M671" s="214"/>
      <c r="N671" s="214"/>
      <c r="O671" s="214"/>
      <c r="P671" s="214"/>
    </row>
    <row r="672" spans="1:16" ht="76.5">
      <c r="A672" s="220" t="s">
        <v>1236</v>
      </c>
      <c r="B672" s="220" t="s">
        <v>45</v>
      </c>
      <c r="C672" s="220" t="s">
        <v>239</v>
      </c>
      <c r="D672" s="220" t="s">
        <v>6</v>
      </c>
      <c r="E672" s="220" t="s">
        <v>1161</v>
      </c>
      <c r="F672" s="221"/>
      <c r="G672" s="222">
        <v>51.6</v>
      </c>
      <c r="H672" s="222">
        <v>51.6</v>
      </c>
      <c r="I672" s="222">
        <v>51.6</v>
      </c>
      <c r="J672" s="214"/>
      <c r="K672" s="214"/>
      <c r="L672" s="214"/>
      <c r="M672" s="214"/>
      <c r="N672" s="214"/>
      <c r="O672" s="214"/>
      <c r="P672" s="214"/>
    </row>
    <row r="673" spans="1:16" ht="38.25">
      <c r="A673" s="220" t="s">
        <v>833</v>
      </c>
      <c r="B673" s="220" t="s">
        <v>45</v>
      </c>
      <c r="C673" s="220" t="s">
        <v>239</v>
      </c>
      <c r="D673" s="220" t="s">
        <v>6</v>
      </c>
      <c r="E673" s="220" t="s">
        <v>1161</v>
      </c>
      <c r="F673" s="220" t="s">
        <v>313</v>
      </c>
      <c r="G673" s="222">
        <v>51.6</v>
      </c>
      <c r="H673" s="222">
        <v>51.6</v>
      </c>
      <c r="I673" s="222">
        <v>51.6</v>
      </c>
      <c r="J673" s="214"/>
      <c r="K673" s="214"/>
      <c r="L673" s="214"/>
      <c r="M673" s="214"/>
      <c r="N673" s="214"/>
      <c r="O673" s="214"/>
      <c r="P673" s="214"/>
    </row>
    <row r="674" spans="1:16" ht="38.25">
      <c r="A674" s="220" t="s">
        <v>605</v>
      </c>
      <c r="B674" s="220" t="s">
        <v>45</v>
      </c>
      <c r="C674" s="220" t="s">
        <v>239</v>
      </c>
      <c r="D674" s="220" t="s">
        <v>6</v>
      </c>
      <c r="E674" s="220" t="s">
        <v>429</v>
      </c>
      <c r="F674" s="221"/>
      <c r="G674" s="222">
        <v>4214.4959099999996</v>
      </c>
      <c r="H674" s="222">
        <v>4146.1769999999997</v>
      </c>
      <c r="I674" s="222">
        <v>4146.1769999999997</v>
      </c>
      <c r="J674" s="214"/>
      <c r="K674" s="214"/>
      <c r="L674" s="214"/>
      <c r="M674" s="214"/>
      <c r="N674" s="214"/>
      <c r="O674" s="214"/>
      <c r="P674" s="214"/>
    </row>
    <row r="675" spans="1:16" ht="38.25">
      <c r="A675" s="220" t="s">
        <v>915</v>
      </c>
      <c r="B675" s="220" t="s">
        <v>45</v>
      </c>
      <c r="C675" s="220" t="s">
        <v>239</v>
      </c>
      <c r="D675" s="220" t="s">
        <v>6</v>
      </c>
      <c r="E675" s="220" t="s">
        <v>430</v>
      </c>
      <c r="F675" s="221"/>
      <c r="G675" s="222">
        <v>4214.4959099999996</v>
      </c>
      <c r="H675" s="222">
        <v>4146.1769999999997</v>
      </c>
      <c r="I675" s="222">
        <v>4146.1769999999997</v>
      </c>
      <c r="J675" s="214"/>
      <c r="K675" s="214"/>
      <c r="L675" s="214"/>
      <c r="M675" s="214"/>
      <c r="N675" s="214"/>
      <c r="O675" s="214"/>
      <c r="P675" s="214"/>
    </row>
    <row r="676" spans="1:16" ht="38.25">
      <c r="A676" s="220" t="s">
        <v>916</v>
      </c>
      <c r="B676" s="220" t="s">
        <v>45</v>
      </c>
      <c r="C676" s="220" t="s">
        <v>239</v>
      </c>
      <c r="D676" s="220" t="s">
        <v>6</v>
      </c>
      <c r="E676" s="220" t="s">
        <v>431</v>
      </c>
      <c r="F676" s="221"/>
      <c r="G676" s="222">
        <v>262.95999999999998</v>
      </c>
      <c r="H676" s="222">
        <v>262.95999999999998</v>
      </c>
      <c r="I676" s="222">
        <v>262.95999999999998</v>
      </c>
      <c r="J676" s="214"/>
      <c r="K676" s="214"/>
      <c r="L676" s="214"/>
      <c r="M676" s="214"/>
      <c r="N676" s="214"/>
      <c r="O676" s="214"/>
      <c r="P676" s="214"/>
    </row>
    <row r="677" spans="1:16" ht="38.25">
      <c r="A677" s="220" t="s">
        <v>833</v>
      </c>
      <c r="B677" s="220" t="s">
        <v>45</v>
      </c>
      <c r="C677" s="220" t="s">
        <v>239</v>
      </c>
      <c r="D677" s="220" t="s">
        <v>6</v>
      </c>
      <c r="E677" s="220" t="s">
        <v>431</v>
      </c>
      <c r="F677" s="220" t="s">
        <v>313</v>
      </c>
      <c r="G677" s="222">
        <v>262.95999999999998</v>
      </c>
      <c r="H677" s="222">
        <v>262.95999999999998</v>
      </c>
      <c r="I677" s="222">
        <v>262.95999999999998</v>
      </c>
      <c r="J677" s="214"/>
      <c r="K677" s="214"/>
      <c r="L677" s="214"/>
      <c r="M677" s="214"/>
      <c r="N677" s="214"/>
      <c r="O677" s="214"/>
      <c r="P677" s="214"/>
    </row>
    <row r="678" spans="1:16" ht="38.25">
      <c r="A678" s="220" t="s">
        <v>917</v>
      </c>
      <c r="B678" s="220" t="s">
        <v>45</v>
      </c>
      <c r="C678" s="220" t="s">
        <v>239</v>
      </c>
      <c r="D678" s="220" t="s">
        <v>6</v>
      </c>
      <c r="E678" s="220" t="s">
        <v>432</v>
      </c>
      <c r="F678" s="221"/>
      <c r="G678" s="222">
        <v>3713.31891</v>
      </c>
      <c r="H678" s="222">
        <v>3645</v>
      </c>
      <c r="I678" s="222">
        <v>3645</v>
      </c>
      <c r="J678" s="214"/>
      <c r="K678" s="214"/>
      <c r="L678" s="214"/>
      <c r="M678" s="214"/>
      <c r="N678" s="214"/>
      <c r="O678" s="214"/>
      <c r="P678" s="214"/>
    </row>
    <row r="679" spans="1:16" ht="38.25">
      <c r="A679" s="220" t="s">
        <v>833</v>
      </c>
      <c r="B679" s="220" t="s">
        <v>45</v>
      </c>
      <c r="C679" s="220" t="s">
        <v>239</v>
      </c>
      <c r="D679" s="220" t="s">
        <v>6</v>
      </c>
      <c r="E679" s="220" t="s">
        <v>432</v>
      </c>
      <c r="F679" s="220" t="s">
        <v>313</v>
      </c>
      <c r="G679" s="222">
        <v>3713.31891</v>
      </c>
      <c r="H679" s="222">
        <v>3645</v>
      </c>
      <c r="I679" s="222">
        <v>3645</v>
      </c>
      <c r="J679" s="214"/>
      <c r="K679" s="214"/>
      <c r="L679" s="214"/>
      <c r="M679" s="214"/>
      <c r="N679" s="214"/>
      <c r="O679" s="214"/>
      <c r="P679" s="214"/>
    </row>
    <row r="680" spans="1:16" ht="51">
      <c r="A680" s="220" t="s">
        <v>1029</v>
      </c>
      <c r="B680" s="220" t="s">
        <v>45</v>
      </c>
      <c r="C680" s="220" t="s">
        <v>239</v>
      </c>
      <c r="D680" s="220" t="s">
        <v>6</v>
      </c>
      <c r="E680" s="220" t="s">
        <v>433</v>
      </c>
      <c r="F680" s="221"/>
      <c r="G680" s="222">
        <v>238.21700000000001</v>
      </c>
      <c r="H680" s="222">
        <v>238.21700000000001</v>
      </c>
      <c r="I680" s="222">
        <v>238.21700000000001</v>
      </c>
      <c r="J680" s="214"/>
      <c r="K680" s="214"/>
      <c r="L680" s="214"/>
      <c r="M680" s="214"/>
      <c r="N680" s="214"/>
      <c r="O680" s="214"/>
      <c r="P680" s="214"/>
    </row>
    <row r="681" spans="1:16" ht="38.25">
      <c r="A681" s="220" t="s">
        <v>833</v>
      </c>
      <c r="B681" s="220" t="s">
        <v>45</v>
      </c>
      <c r="C681" s="220" t="s">
        <v>239</v>
      </c>
      <c r="D681" s="220" t="s">
        <v>6</v>
      </c>
      <c r="E681" s="220" t="s">
        <v>433</v>
      </c>
      <c r="F681" s="220" t="s">
        <v>313</v>
      </c>
      <c r="G681" s="222">
        <v>238.21700000000001</v>
      </c>
      <c r="H681" s="222">
        <v>238.21700000000001</v>
      </c>
      <c r="I681" s="222">
        <v>238.21700000000001</v>
      </c>
      <c r="J681" s="214"/>
      <c r="K681" s="214"/>
      <c r="L681" s="214"/>
      <c r="M681" s="214"/>
      <c r="N681" s="214"/>
      <c r="O681" s="214"/>
      <c r="P681" s="214"/>
    </row>
    <row r="682" spans="1:16" ht="38.25">
      <c r="A682" s="220" t="s">
        <v>588</v>
      </c>
      <c r="B682" s="220" t="s">
        <v>45</v>
      </c>
      <c r="C682" s="220" t="s">
        <v>239</v>
      </c>
      <c r="D682" s="220" t="s">
        <v>6</v>
      </c>
      <c r="E682" s="220" t="s">
        <v>468</v>
      </c>
      <c r="F682" s="221"/>
      <c r="G682" s="222">
        <v>21.074719999999999</v>
      </c>
      <c r="H682" s="222">
        <v>0</v>
      </c>
      <c r="I682" s="222">
        <v>0</v>
      </c>
      <c r="J682" s="214"/>
      <c r="K682" s="214"/>
      <c r="L682" s="214"/>
      <c r="M682" s="214"/>
      <c r="N682" s="214"/>
      <c r="O682" s="214"/>
      <c r="P682" s="214"/>
    </row>
    <row r="683" spans="1:16">
      <c r="A683" s="220" t="s">
        <v>574</v>
      </c>
      <c r="B683" s="220" t="s">
        <v>45</v>
      </c>
      <c r="C683" s="220" t="s">
        <v>239</v>
      </c>
      <c r="D683" s="220" t="s">
        <v>6</v>
      </c>
      <c r="E683" s="220" t="s">
        <v>469</v>
      </c>
      <c r="F683" s="221"/>
      <c r="G683" s="222">
        <v>21.074719999999999</v>
      </c>
      <c r="H683" s="222">
        <v>0</v>
      </c>
      <c r="I683" s="222">
        <v>0</v>
      </c>
      <c r="J683" s="214"/>
      <c r="K683" s="214"/>
      <c r="L683" s="214"/>
      <c r="M683" s="214"/>
      <c r="N683" s="214"/>
      <c r="O683" s="214"/>
      <c r="P683" s="214"/>
    </row>
    <row r="684" spans="1:16" ht="127.5">
      <c r="A684" s="220" t="s">
        <v>1329</v>
      </c>
      <c r="B684" s="220" t="s">
        <v>45</v>
      </c>
      <c r="C684" s="220" t="s">
        <v>239</v>
      </c>
      <c r="D684" s="220" t="s">
        <v>6</v>
      </c>
      <c r="E684" s="220" t="s">
        <v>1319</v>
      </c>
      <c r="F684" s="221"/>
      <c r="G684" s="222">
        <v>21.074719999999999</v>
      </c>
      <c r="H684" s="222">
        <v>0</v>
      </c>
      <c r="I684" s="222">
        <v>0</v>
      </c>
      <c r="J684" s="214"/>
      <c r="K684" s="214"/>
      <c r="L684" s="214"/>
      <c r="M684" s="214"/>
      <c r="N684" s="214"/>
      <c r="O684" s="214"/>
      <c r="P684" s="214"/>
    </row>
    <row r="685" spans="1:16">
      <c r="A685" s="220" t="s">
        <v>849</v>
      </c>
      <c r="B685" s="220" t="s">
        <v>45</v>
      </c>
      <c r="C685" s="220" t="s">
        <v>239</v>
      </c>
      <c r="D685" s="220" t="s">
        <v>6</v>
      </c>
      <c r="E685" s="220" t="s">
        <v>1319</v>
      </c>
      <c r="F685" s="220" t="s">
        <v>314</v>
      </c>
      <c r="G685" s="222">
        <v>21.074719999999999</v>
      </c>
      <c r="H685" s="222">
        <v>0</v>
      </c>
      <c r="I685" s="222">
        <v>0</v>
      </c>
      <c r="J685" s="214"/>
      <c r="K685" s="214"/>
      <c r="L685" s="214"/>
      <c r="M685" s="214"/>
      <c r="N685" s="214"/>
      <c r="O685" s="214"/>
      <c r="P685" s="214"/>
    </row>
    <row r="686" spans="1:16" ht="38.25">
      <c r="A686" s="220" t="s">
        <v>589</v>
      </c>
      <c r="B686" s="220" t="s">
        <v>45</v>
      </c>
      <c r="C686" s="220" t="s">
        <v>239</v>
      </c>
      <c r="D686" s="220" t="s">
        <v>6</v>
      </c>
      <c r="E686" s="220" t="s">
        <v>505</v>
      </c>
      <c r="F686" s="221"/>
      <c r="G686" s="222">
        <v>942.25995</v>
      </c>
      <c r="H686" s="222">
        <v>0</v>
      </c>
      <c r="I686" s="222">
        <v>0</v>
      </c>
      <c r="J686" s="214"/>
      <c r="K686" s="214"/>
      <c r="L686" s="214"/>
      <c r="M686" s="214"/>
      <c r="N686" s="214"/>
      <c r="O686" s="214"/>
      <c r="P686" s="214"/>
    </row>
    <row r="687" spans="1:16">
      <c r="A687" s="220" t="s">
        <v>574</v>
      </c>
      <c r="B687" s="220" t="s">
        <v>45</v>
      </c>
      <c r="C687" s="220" t="s">
        <v>239</v>
      </c>
      <c r="D687" s="220" t="s">
        <v>6</v>
      </c>
      <c r="E687" s="220" t="s">
        <v>506</v>
      </c>
      <c r="F687" s="221"/>
      <c r="G687" s="222">
        <v>942.25995</v>
      </c>
      <c r="H687" s="222">
        <v>0</v>
      </c>
      <c r="I687" s="222">
        <v>0</v>
      </c>
      <c r="J687" s="214"/>
      <c r="K687" s="214"/>
      <c r="L687" s="214"/>
      <c r="M687" s="214"/>
      <c r="N687" s="214"/>
      <c r="O687" s="214"/>
      <c r="P687" s="214"/>
    </row>
    <row r="688" spans="1:16" ht="25.5">
      <c r="A688" s="220" t="s">
        <v>1331</v>
      </c>
      <c r="B688" s="220" t="s">
        <v>45</v>
      </c>
      <c r="C688" s="220" t="s">
        <v>239</v>
      </c>
      <c r="D688" s="220" t="s">
        <v>6</v>
      </c>
      <c r="E688" s="220" t="s">
        <v>1323</v>
      </c>
      <c r="F688" s="221"/>
      <c r="G688" s="222">
        <v>942.25995</v>
      </c>
      <c r="H688" s="222">
        <v>0</v>
      </c>
      <c r="I688" s="222">
        <v>0</v>
      </c>
      <c r="J688" s="214"/>
      <c r="K688" s="214"/>
      <c r="L688" s="214"/>
      <c r="M688" s="214"/>
      <c r="N688" s="214"/>
      <c r="O688" s="214"/>
      <c r="P688" s="214"/>
    </row>
    <row r="689" spans="1:16" ht="38.25">
      <c r="A689" s="220" t="s">
        <v>833</v>
      </c>
      <c r="B689" s="220" t="s">
        <v>45</v>
      </c>
      <c r="C689" s="220" t="s">
        <v>239</v>
      </c>
      <c r="D689" s="220" t="s">
        <v>6</v>
      </c>
      <c r="E689" s="220" t="s">
        <v>1323</v>
      </c>
      <c r="F689" s="220" t="s">
        <v>313</v>
      </c>
      <c r="G689" s="222">
        <v>942.25995</v>
      </c>
      <c r="H689" s="222">
        <v>0</v>
      </c>
      <c r="I689" s="222">
        <v>0</v>
      </c>
      <c r="J689" s="214"/>
      <c r="K689" s="214"/>
      <c r="L689" s="214"/>
      <c r="M689" s="214"/>
      <c r="N689" s="214"/>
      <c r="O689" s="214"/>
      <c r="P689" s="214"/>
    </row>
    <row r="690" spans="1:16" ht="15">
      <c r="A690" s="223" t="s">
        <v>607</v>
      </c>
      <c r="B690" s="223"/>
      <c r="C690" s="223"/>
      <c r="D690" s="223"/>
      <c r="E690" s="223"/>
      <c r="F690" s="223"/>
      <c r="G690" s="224">
        <v>1202216.68799</v>
      </c>
      <c r="H690" s="224">
        <v>1100993.14653</v>
      </c>
      <c r="I690" s="224">
        <v>1094024.5025299999</v>
      </c>
      <c r="J690" s="214"/>
      <c r="K690" s="214"/>
      <c r="L690" s="214"/>
      <c r="M690" s="214"/>
      <c r="N690" s="214"/>
      <c r="O690" s="214"/>
      <c r="P690" s="228"/>
    </row>
    <row r="691" spans="1:16" ht="15">
      <c r="A691" s="225"/>
      <c r="B691" s="225"/>
      <c r="C691" s="225"/>
      <c r="D691" s="225"/>
      <c r="E691" s="225"/>
      <c r="F691" s="225"/>
      <c r="G691" s="225"/>
      <c r="H691" s="225"/>
      <c r="I691" s="225"/>
      <c r="J691" s="214"/>
      <c r="K691" s="214"/>
      <c r="L691" s="214"/>
      <c r="M691" s="214"/>
      <c r="N691" s="214"/>
      <c r="O691" s="214"/>
      <c r="P691" s="228"/>
    </row>
    <row r="692" spans="1:16" ht="15">
      <c r="A692" s="361"/>
      <c r="B692" s="361"/>
      <c r="C692" s="361"/>
      <c r="D692" s="361"/>
      <c r="E692" s="361"/>
      <c r="F692" s="361"/>
      <c r="G692" s="362"/>
      <c r="H692" s="228"/>
      <c r="I692" s="228"/>
      <c r="J692" s="226"/>
      <c r="K692" s="214"/>
      <c r="L692" s="214"/>
      <c r="M692" s="214"/>
      <c r="N692" s="214"/>
      <c r="O692" s="214"/>
      <c r="P692" s="228"/>
    </row>
  </sheetData>
  <mergeCells count="16">
    <mergeCell ref="E692:G692"/>
    <mergeCell ref="A1:I1"/>
    <mergeCell ref="A2:I2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692:D692"/>
  </mergeCells>
  <pageMargins left="0.98425196850393704" right="0.39370078740157483" top="0.39370078740157483" bottom="0.39370078740157483" header="0.31496062992125984" footer="0.31496062992125984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17"/>
  <sheetViews>
    <sheetView showGridLines="0" view="pageBreakPreview" zoomScale="110" zoomScaleNormal="100" zoomScaleSheetLayoutView="110" workbookViewId="0">
      <selection activeCell="A2" sqref="A2:J2"/>
    </sheetView>
  </sheetViews>
  <sheetFormatPr defaultRowHeight="15"/>
  <cols>
    <col min="1" max="1" width="22.44140625" style="65" bestFit="1" customWidth="1"/>
    <col min="2" max="6" width="4.44140625" style="80" customWidth="1"/>
    <col min="7" max="7" width="20" style="80" customWidth="1"/>
    <col min="8" max="8" width="17.21875" style="66" customWidth="1"/>
    <col min="9" max="9" width="14.88671875" style="66" customWidth="1"/>
    <col min="10" max="10" width="15.33203125" style="66" customWidth="1"/>
    <col min="11" max="16384" width="8.88671875" style="66"/>
  </cols>
  <sheetData>
    <row r="1" spans="1:10" ht="114" customHeight="1">
      <c r="A1" s="230" t="s">
        <v>1033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s="174" customFormat="1" ht="128.25" customHeight="1">
      <c r="A2" s="363" t="s">
        <v>1398</v>
      </c>
      <c r="B2" s="363"/>
      <c r="C2" s="363"/>
      <c r="D2" s="363"/>
      <c r="E2" s="363"/>
      <c r="F2" s="363"/>
      <c r="G2" s="363"/>
      <c r="H2" s="363"/>
      <c r="I2" s="363"/>
      <c r="J2" s="363"/>
    </row>
    <row r="3" spans="1:10" ht="39" customHeight="1">
      <c r="A3" s="375"/>
      <c r="B3" s="375"/>
      <c r="C3" s="375"/>
      <c r="D3" s="375"/>
      <c r="E3" s="375"/>
      <c r="F3" s="375"/>
      <c r="G3" s="375"/>
      <c r="H3" s="375"/>
      <c r="I3" s="375"/>
      <c r="J3" s="375"/>
    </row>
    <row r="4" spans="1:10" ht="9" hidden="1" customHeight="1">
      <c r="A4" s="54"/>
      <c r="B4" s="79"/>
      <c r="C4" s="79"/>
      <c r="D4" s="79"/>
      <c r="E4" s="79"/>
      <c r="F4" s="376"/>
      <c r="G4" s="376"/>
      <c r="H4" s="376"/>
    </row>
    <row r="5" spans="1:10" ht="9.75" hidden="1" customHeight="1">
      <c r="A5" s="54"/>
      <c r="B5" s="79"/>
      <c r="C5" s="79"/>
      <c r="D5" s="79"/>
      <c r="E5" s="79"/>
      <c r="F5" s="79"/>
      <c r="G5" s="79"/>
      <c r="H5" s="52"/>
    </row>
    <row r="6" spans="1:10" ht="51" customHeight="1">
      <c r="A6" s="377" t="s">
        <v>1039</v>
      </c>
      <c r="B6" s="377"/>
      <c r="C6" s="377"/>
      <c r="D6" s="377"/>
      <c r="E6" s="377"/>
      <c r="F6" s="377"/>
      <c r="G6" s="377"/>
      <c r="H6" s="377"/>
      <c r="I6" s="377"/>
      <c r="J6" s="377"/>
    </row>
    <row r="7" spans="1:10" ht="23.25" customHeight="1">
      <c r="A7" s="378" t="s">
        <v>1</v>
      </c>
      <c r="B7" s="378"/>
      <c r="C7" s="378"/>
      <c r="D7" s="378"/>
      <c r="E7" s="378"/>
      <c r="F7" s="378"/>
      <c r="G7" s="378"/>
      <c r="H7" s="378"/>
      <c r="I7" s="378"/>
      <c r="J7" s="378"/>
    </row>
    <row r="8" spans="1:10" ht="36.75" customHeight="1">
      <c r="A8" s="379" t="s">
        <v>59</v>
      </c>
      <c r="B8" s="382" t="s">
        <v>41</v>
      </c>
      <c r="C8" s="383"/>
      <c r="D8" s="383"/>
      <c r="E8" s="383"/>
      <c r="F8" s="383"/>
      <c r="G8" s="384"/>
      <c r="H8" s="391" t="s">
        <v>523</v>
      </c>
      <c r="I8" s="391"/>
      <c r="J8" s="391"/>
    </row>
    <row r="9" spans="1:10" ht="9" customHeight="1">
      <c r="A9" s="380"/>
      <c r="B9" s="385"/>
      <c r="C9" s="386"/>
      <c r="D9" s="386"/>
      <c r="E9" s="386"/>
      <c r="F9" s="386"/>
      <c r="G9" s="387"/>
      <c r="H9" s="391"/>
      <c r="I9" s="391"/>
      <c r="J9" s="391"/>
    </row>
    <row r="10" spans="1:10" ht="36.75" customHeight="1">
      <c r="A10" s="381"/>
      <c r="B10" s="388"/>
      <c r="C10" s="389"/>
      <c r="D10" s="389"/>
      <c r="E10" s="389"/>
      <c r="F10" s="389"/>
      <c r="G10" s="390"/>
      <c r="H10" s="170" t="s">
        <v>524</v>
      </c>
      <c r="I10" s="183" t="s">
        <v>937</v>
      </c>
      <c r="J10" s="183" t="s">
        <v>1030</v>
      </c>
    </row>
    <row r="11" spans="1:10" ht="54.75" hidden="1" customHeight="1">
      <c r="A11" s="93" t="s">
        <v>138</v>
      </c>
      <c r="B11" s="368" t="s">
        <v>66</v>
      </c>
      <c r="C11" s="369"/>
      <c r="D11" s="369"/>
      <c r="E11" s="369"/>
      <c r="F11" s="369"/>
      <c r="G11" s="369"/>
      <c r="H11" s="157">
        <f>SUM(H12+H14)</f>
        <v>0</v>
      </c>
      <c r="I11" s="157">
        <f>SUM(I12+I14)</f>
        <v>0</v>
      </c>
      <c r="J11" s="157">
        <f>SUM(J12+J14)</f>
        <v>0</v>
      </c>
    </row>
    <row r="12" spans="1:10" s="175" customFormat="1" ht="42" hidden="1" customHeight="1">
      <c r="A12" s="93" t="s">
        <v>139</v>
      </c>
      <c r="B12" s="368" t="s">
        <v>67</v>
      </c>
      <c r="C12" s="369"/>
      <c r="D12" s="369"/>
      <c r="E12" s="369"/>
      <c r="F12" s="369"/>
      <c r="G12" s="369"/>
      <c r="H12" s="157">
        <f>SUM(H13)</f>
        <v>0</v>
      </c>
      <c r="I12" s="157">
        <f>SUM(I13)</f>
        <v>0</v>
      </c>
      <c r="J12" s="157">
        <f>SUM(J13)</f>
        <v>0</v>
      </c>
    </row>
    <row r="13" spans="1:10" ht="57" hidden="1" customHeight="1">
      <c r="A13" s="94" t="s">
        <v>140</v>
      </c>
      <c r="B13" s="370" t="s">
        <v>68</v>
      </c>
      <c r="C13" s="371"/>
      <c r="D13" s="371"/>
      <c r="E13" s="371"/>
      <c r="F13" s="371"/>
      <c r="G13" s="371"/>
      <c r="H13" s="107">
        <f>150000+16000+12600-178600</f>
        <v>0</v>
      </c>
      <c r="I13" s="107">
        <f>162000+16000+12600-479.5-190120.5</f>
        <v>0</v>
      </c>
      <c r="J13" s="107">
        <f>168000+16000+12600-503.5-196096.5</f>
        <v>0</v>
      </c>
    </row>
    <row r="14" spans="1:10" s="176" customFormat="1" ht="45.75" hidden="1" customHeight="1">
      <c r="A14" s="93" t="s">
        <v>50</v>
      </c>
      <c r="B14" s="368" t="s">
        <v>128</v>
      </c>
      <c r="C14" s="369"/>
      <c r="D14" s="369"/>
      <c r="E14" s="369"/>
      <c r="F14" s="369"/>
      <c r="G14" s="369"/>
      <c r="H14" s="157">
        <f>H15</f>
        <v>0</v>
      </c>
      <c r="I14" s="157">
        <f>I15</f>
        <v>0</v>
      </c>
      <c r="J14" s="157">
        <f>J15</f>
        <v>0</v>
      </c>
    </row>
    <row r="15" spans="1:10" ht="59.25" hidden="1" customHeight="1">
      <c r="A15" s="94" t="s">
        <v>70</v>
      </c>
      <c r="B15" s="370" t="s">
        <v>43</v>
      </c>
      <c r="C15" s="371"/>
      <c r="D15" s="371"/>
      <c r="E15" s="371"/>
      <c r="F15" s="371"/>
      <c r="G15" s="371"/>
      <c r="H15" s="107">
        <f>-134000-16000+150000</f>
        <v>0</v>
      </c>
      <c r="I15" s="107">
        <f>-150000-16000-12600+178600</f>
        <v>0</v>
      </c>
      <c r="J15" s="107">
        <f>-162000-16000-12600+190600</f>
        <v>0</v>
      </c>
    </row>
    <row r="16" spans="1:10" ht="50.25" customHeight="1">
      <c r="A16" s="93" t="s">
        <v>137</v>
      </c>
      <c r="B16" s="368" t="s">
        <v>470</v>
      </c>
      <c r="C16" s="369"/>
      <c r="D16" s="369"/>
      <c r="E16" s="369"/>
      <c r="F16" s="369"/>
      <c r="G16" s="369"/>
      <c r="H16" s="157">
        <f>H20+H24</f>
        <v>4010.8999999999069</v>
      </c>
      <c r="I16" s="157">
        <f>I20+I24</f>
        <v>0</v>
      </c>
      <c r="J16" s="157">
        <f>J20+J24</f>
        <v>0</v>
      </c>
    </row>
    <row r="17" spans="1:11" ht="33" customHeight="1">
      <c r="A17" s="93" t="s">
        <v>130</v>
      </c>
      <c r="B17" s="368" t="s">
        <v>83</v>
      </c>
      <c r="C17" s="368"/>
      <c r="D17" s="368"/>
      <c r="E17" s="368"/>
      <c r="F17" s="368"/>
      <c r="G17" s="368"/>
      <c r="H17" s="157">
        <f t="shared" ref="H17:J19" si="0">SUM(H18)</f>
        <v>-1379506.8</v>
      </c>
      <c r="I17" s="157">
        <f t="shared" si="0"/>
        <v>-1346993.1</v>
      </c>
      <c r="J17" s="157">
        <f t="shared" si="0"/>
        <v>-1340024.5</v>
      </c>
    </row>
    <row r="18" spans="1:11" ht="49.5" customHeight="1">
      <c r="A18" s="94" t="s">
        <v>131</v>
      </c>
      <c r="B18" s="370" t="s">
        <v>56</v>
      </c>
      <c r="C18" s="370"/>
      <c r="D18" s="370"/>
      <c r="E18" s="370"/>
      <c r="F18" s="370"/>
      <c r="G18" s="370"/>
      <c r="H18" s="158">
        <f t="shared" si="0"/>
        <v>-1379506.8</v>
      </c>
      <c r="I18" s="158">
        <f t="shared" si="0"/>
        <v>-1346993.1</v>
      </c>
      <c r="J18" s="158">
        <f t="shared" si="0"/>
        <v>-1340024.5</v>
      </c>
    </row>
    <row r="19" spans="1:11" ht="48.75" customHeight="1">
      <c r="A19" s="94" t="s">
        <v>38</v>
      </c>
      <c r="B19" s="370" t="s">
        <v>86</v>
      </c>
      <c r="C19" s="370"/>
      <c r="D19" s="370"/>
      <c r="E19" s="370"/>
      <c r="F19" s="370"/>
      <c r="G19" s="370"/>
      <c r="H19" s="158">
        <f t="shared" si="0"/>
        <v>-1379506.8</v>
      </c>
      <c r="I19" s="158">
        <f t="shared" si="0"/>
        <v>-1346993.1</v>
      </c>
      <c r="J19" s="158">
        <f t="shared" si="0"/>
        <v>-1340024.5</v>
      </c>
    </row>
    <row r="20" spans="1:11" ht="52.5" customHeight="1">
      <c r="A20" s="94" t="s">
        <v>39</v>
      </c>
      <c r="B20" s="370" t="s">
        <v>87</v>
      </c>
      <c r="C20" s="371"/>
      <c r="D20" s="371"/>
      <c r="E20" s="371"/>
      <c r="F20" s="371"/>
      <c r="G20" s="371"/>
      <c r="H20" s="158">
        <f>SUM('пр №3 '!H15)</f>
        <v>-1379506.8</v>
      </c>
      <c r="I20" s="158">
        <f>SUM('пр №3 '!I15)</f>
        <v>-1346993.1</v>
      </c>
      <c r="J20" s="158">
        <f>SUM('пр №3 '!J15)</f>
        <v>-1340024.5</v>
      </c>
    </row>
    <row r="21" spans="1:11" ht="35.25" customHeight="1">
      <c r="A21" s="93" t="s">
        <v>82</v>
      </c>
      <c r="B21" s="368" t="s">
        <v>62</v>
      </c>
      <c r="C21" s="368"/>
      <c r="D21" s="368"/>
      <c r="E21" s="368"/>
      <c r="F21" s="368"/>
      <c r="G21" s="368"/>
      <c r="H21" s="157">
        <f t="shared" ref="H21:J23" si="1">SUM(H22)</f>
        <v>1383517.7</v>
      </c>
      <c r="I21" s="157">
        <f t="shared" si="1"/>
        <v>1346993.1</v>
      </c>
      <c r="J21" s="157">
        <f t="shared" si="1"/>
        <v>1340024.5</v>
      </c>
    </row>
    <row r="22" spans="1:11" ht="33.75" customHeight="1">
      <c r="A22" s="94" t="s">
        <v>60</v>
      </c>
      <c r="B22" s="370" t="s">
        <v>57</v>
      </c>
      <c r="C22" s="371"/>
      <c r="D22" s="371"/>
      <c r="E22" s="371"/>
      <c r="F22" s="371"/>
      <c r="G22" s="371"/>
      <c r="H22" s="158">
        <f t="shared" si="1"/>
        <v>1383517.7</v>
      </c>
      <c r="I22" s="158">
        <f t="shared" si="1"/>
        <v>1346993.1</v>
      </c>
      <c r="J22" s="158">
        <f t="shared" si="1"/>
        <v>1340024.5</v>
      </c>
    </row>
    <row r="23" spans="1:11" ht="45" customHeight="1">
      <c r="A23" s="94" t="s">
        <v>61</v>
      </c>
      <c r="B23" s="370" t="s">
        <v>31</v>
      </c>
      <c r="C23" s="370"/>
      <c r="D23" s="370"/>
      <c r="E23" s="370"/>
      <c r="F23" s="370"/>
      <c r="G23" s="370"/>
      <c r="H23" s="158">
        <f t="shared" si="1"/>
        <v>1383517.7</v>
      </c>
      <c r="I23" s="158">
        <f t="shared" si="1"/>
        <v>1346993.1</v>
      </c>
      <c r="J23" s="158">
        <f t="shared" si="1"/>
        <v>1340024.5</v>
      </c>
    </row>
    <row r="24" spans="1:11" ht="44.25" customHeight="1">
      <c r="A24" s="94" t="s">
        <v>132</v>
      </c>
      <c r="B24" s="370" t="s">
        <v>108</v>
      </c>
      <c r="C24" s="371"/>
      <c r="D24" s="371"/>
      <c r="E24" s="371"/>
      <c r="F24" s="371"/>
      <c r="G24" s="371"/>
      <c r="H24" s="158">
        <f>SUM('пр №3 '!H16)</f>
        <v>1383517.7</v>
      </c>
      <c r="I24" s="158">
        <f>SUM('пр №3 '!I16)</f>
        <v>1346993.1</v>
      </c>
      <c r="J24" s="158">
        <f>SUM('пр №3 '!J16)</f>
        <v>1340024.5</v>
      </c>
    </row>
    <row r="25" spans="1:11" ht="44.25" customHeight="1">
      <c r="A25" s="93" t="s">
        <v>754</v>
      </c>
      <c r="B25" s="368" t="s">
        <v>66</v>
      </c>
      <c r="C25" s="369"/>
      <c r="D25" s="369"/>
      <c r="E25" s="369"/>
      <c r="F25" s="369"/>
      <c r="G25" s="369"/>
      <c r="H25" s="157">
        <f>SUM(H26+H28)</f>
        <v>30000</v>
      </c>
      <c r="I25" s="157">
        <f>SUM(I26+I28)</f>
        <v>0</v>
      </c>
      <c r="J25" s="157">
        <f>SUM(J26+J28)</f>
        <v>-10000</v>
      </c>
    </row>
    <row r="26" spans="1:11" ht="44.25" customHeight="1">
      <c r="A26" s="93" t="s">
        <v>755</v>
      </c>
      <c r="B26" s="368" t="s">
        <v>67</v>
      </c>
      <c r="C26" s="369"/>
      <c r="D26" s="369"/>
      <c r="E26" s="369"/>
      <c r="F26" s="369"/>
      <c r="G26" s="369"/>
      <c r="H26" s="157">
        <f>SUM(H27)</f>
        <v>154000</v>
      </c>
      <c r="I26" s="157">
        <f>SUM(I27)</f>
        <v>246000</v>
      </c>
      <c r="J26" s="157">
        <f>SUM(J27)</f>
        <v>236000</v>
      </c>
    </row>
    <row r="27" spans="1:11" ht="56.25" customHeight="1">
      <c r="A27" s="94" t="s">
        <v>756</v>
      </c>
      <c r="B27" s="370" t="s">
        <v>68</v>
      </c>
      <c r="C27" s="371"/>
      <c r="D27" s="371"/>
      <c r="E27" s="371"/>
      <c r="F27" s="371"/>
      <c r="G27" s="371"/>
      <c r="H27" s="107">
        <f>SUM('пр №3 '!H18)</f>
        <v>154000</v>
      </c>
      <c r="I27" s="107">
        <f>SUM('пр №3 '!I18)</f>
        <v>246000</v>
      </c>
      <c r="J27" s="107">
        <f>SUM('пр №3 '!J18)</f>
        <v>236000</v>
      </c>
    </row>
    <row r="28" spans="1:11" ht="55.5" customHeight="1">
      <c r="A28" s="93" t="s">
        <v>757</v>
      </c>
      <c r="B28" s="368" t="s">
        <v>128</v>
      </c>
      <c r="C28" s="369"/>
      <c r="D28" s="369"/>
      <c r="E28" s="369"/>
      <c r="F28" s="369"/>
      <c r="G28" s="369"/>
      <c r="H28" s="157">
        <f>H29</f>
        <v>-124000</v>
      </c>
      <c r="I28" s="157">
        <f>I29</f>
        <v>-246000</v>
      </c>
      <c r="J28" s="157">
        <f>J29</f>
        <v>-246000</v>
      </c>
    </row>
    <row r="29" spans="1:11" ht="54" customHeight="1">
      <c r="A29" s="94" t="s">
        <v>758</v>
      </c>
      <c r="B29" s="370" t="s">
        <v>43</v>
      </c>
      <c r="C29" s="371"/>
      <c r="D29" s="371"/>
      <c r="E29" s="371"/>
      <c r="F29" s="371"/>
      <c r="G29" s="371"/>
      <c r="H29" s="107">
        <f>SUM('пр №3 '!H19)</f>
        <v>-124000</v>
      </c>
      <c r="I29" s="107">
        <f>SUM('пр №3 '!I19)</f>
        <v>-246000</v>
      </c>
      <c r="J29" s="107">
        <f>SUM('пр №3 '!J19)</f>
        <v>-246000</v>
      </c>
    </row>
    <row r="30" spans="1:11" ht="55.5" customHeight="1">
      <c r="A30" s="95" t="s">
        <v>480</v>
      </c>
      <c r="B30" s="364" t="s">
        <v>481</v>
      </c>
      <c r="C30" s="373"/>
      <c r="D30" s="373"/>
      <c r="E30" s="373"/>
      <c r="F30" s="373"/>
      <c r="G30" s="373"/>
      <c r="H30" s="157">
        <f>SUM(H31+H35)</f>
        <v>0</v>
      </c>
      <c r="I30" s="157">
        <f>SUM(I31+I35)</f>
        <v>0</v>
      </c>
      <c r="J30" s="157">
        <f>SUM(J31+J35)</f>
        <v>0</v>
      </c>
    </row>
    <row r="31" spans="1:11" ht="61.5" customHeight="1">
      <c r="A31" s="95" t="s">
        <v>482</v>
      </c>
      <c r="B31" s="364" t="s">
        <v>483</v>
      </c>
      <c r="C31" s="364"/>
      <c r="D31" s="364"/>
      <c r="E31" s="364"/>
      <c r="F31" s="364"/>
      <c r="G31" s="364"/>
      <c r="H31" s="157">
        <f>SUM(H32)</f>
        <v>57301</v>
      </c>
      <c r="I31" s="157">
        <f>SUM(I32)</f>
        <v>0</v>
      </c>
      <c r="J31" s="157">
        <f>SUM(J32)</f>
        <v>0</v>
      </c>
    </row>
    <row r="32" spans="1:11" ht="92.25" customHeight="1">
      <c r="A32" s="177" t="s">
        <v>484</v>
      </c>
      <c r="B32" s="372" t="s">
        <v>477</v>
      </c>
      <c r="C32" s="372"/>
      <c r="D32" s="372"/>
      <c r="E32" s="372"/>
      <c r="F32" s="372"/>
      <c r="G32" s="372"/>
      <c r="H32" s="158">
        <f>SUM(H33:H34)</f>
        <v>57301</v>
      </c>
      <c r="I32" s="158">
        <f>SUM(I33:I34)</f>
        <v>0</v>
      </c>
      <c r="J32" s="158">
        <f>SUM(J33:J34)</f>
        <v>0</v>
      </c>
      <c r="K32" s="178"/>
    </row>
    <row r="33" spans="1:11" ht="46.5" customHeight="1">
      <c r="A33" s="177"/>
      <c r="B33" s="317" t="s">
        <v>1003</v>
      </c>
      <c r="C33" s="318"/>
      <c r="D33" s="318"/>
      <c r="E33" s="318"/>
      <c r="F33" s="318"/>
      <c r="G33" s="374"/>
      <c r="H33" s="211">
        <f>SUM('пр №3 '!H26)</f>
        <v>0</v>
      </c>
      <c r="I33" s="211">
        <f>SUM('пр №3 '!I26)</f>
        <v>0</v>
      </c>
      <c r="J33" s="211">
        <f>SUM('пр №3 '!J26)</f>
        <v>0</v>
      </c>
      <c r="K33" s="178"/>
    </row>
    <row r="34" spans="1:11" ht="58.5" customHeight="1">
      <c r="A34" s="177"/>
      <c r="B34" s="317" t="s">
        <v>1004</v>
      </c>
      <c r="C34" s="318"/>
      <c r="D34" s="318"/>
      <c r="E34" s="318"/>
      <c r="F34" s="318"/>
      <c r="G34" s="374"/>
      <c r="H34" s="211">
        <f>SUM('пр №3 '!H22)</f>
        <v>57301</v>
      </c>
      <c r="I34" s="211">
        <f>SUM('пр №3 '!I22)</f>
        <v>0</v>
      </c>
      <c r="J34" s="211">
        <f>SUM('пр №3 '!J22)</f>
        <v>0</v>
      </c>
      <c r="K34" s="178"/>
    </row>
    <row r="35" spans="1:11" ht="79.5" customHeight="1">
      <c r="A35" s="95" t="s">
        <v>485</v>
      </c>
      <c r="B35" s="364" t="s">
        <v>486</v>
      </c>
      <c r="C35" s="373"/>
      <c r="D35" s="373"/>
      <c r="E35" s="373"/>
      <c r="F35" s="373"/>
      <c r="G35" s="373"/>
      <c r="H35" s="157">
        <f>SUM(H36)</f>
        <v>-57301</v>
      </c>
      <c r="I35" s="157">
        <f>SUM(I36)</f>
        <v>0</v>
      </c>
      <c r="J35" s="157">
        <f>SUM(J36)</f>
        <v>0</v>
      </c>
    </row>
    <row r="36" spans="1:11" ht="85.5" customHeight="1">
      <c r="A36" s="179" t="s">
        <v>487</v>
      </c>
      <c r="B36" s="372" t="s">
        <v>479</v>
      </c>
      <c r="C36" s="372"/>
      <c r="D36" s="372"/>
      <c r="E36" s="372"/>
      <c r="F36" s="372"/>
      <c r="G36" s="372"/>
      <c r="H36" s="158">
        <f>SUM(H41:H42)</f>
        <v>-57301</v>
      </c>
      <c r="I36" s="158">
        <f t="shared" ref="I36:J36" si="2">SUM(I41:I42)</f>
        <v>0</v>
      </c>
      <c r="J36" s="158">
        <f t="shared" si="2"/>
        <v>0</v>
      </c>
    </row>
    <row r="37" spans="1:11" ht="61.5" hidden="1" customHeight="1">
      <c r="A37" s="95" t="s">
        <v>482</v>
      </c>
      <c r="B37" s="364" t="s">
        <v>483</v>
      </c>
      <c r="C37" s="364"/>
      <c r="D37" s="364"/>
      <c r="E37" s="364"/>
      <c r="F37" s="364"/>
      <c r="G37" s="364"/>
      <c r="H37" s="157">
        <f>SUM(H38)</f>
        <v>0</v>
      </c>
      <c r="I37" s="157">
        <f>SUM(I38)</f>
        <v>0</v>
      </c>
      <c r="J37" s="157">
        <f>SUM(J38)</f>
        <v>0</v>
      </c>
    </row>
    <row r="38" spans="1:11" ht="92.25" hidden="1" customHeight="1">
      <c r="A38" s="177" t="s">
        <v>484</v>
      </c>
      <c r="B38" s="365" t="s">
        <v>923</v>
      </c>
      <c r="C38" s="365"/>
      <c r="D38" s="365"/>
      <c r="E38" s="365"/>
      <c r="F38" s="365"/>
      <c r="G38" s="365"/>
      <c r="H38" s="158"/>
      <c r="I38" s="103">
        <v>0</v>
      </c>
      <c r="J38" s="103">
        <v>0</v>
      </c>
    </row>
    <row r="39" spans="1:11" ht="79.5" hidden="1" customHeight="1">
      <c r="A39" s="95" t="s">
        <v>485</v>
      </c>
      <c r="B39" s="366" t="s">
        <v>486</v>
      </c>
      <c r="C39" s="367"/>
      <c r="D39" s="367"/>
      <c r="E39" s="367"/>
      <c r="F39" s="367"/>
      <c r="G39" s="367"/>
      <c r="H39" s="157">
        <f>SUM(H40)</f>
        <v>0</v>
      </c>
      <c r="I39" s="157">
        <f>SUM(I40)</f>
        <v>0</v>
      </c>
      <c r="J39" s="157">
        <f>SUM(J40)</f>
        <v>0</v>
      </c>
    </row>
    <row r="40" spans="1:11" ht="101.25" hidden="1" customHeight="1">
      <c r="A40" s="179" t="s">
        <v>487</v>
      </c>
      <c r="B40" s="365" t="s">
        <v>924</v>
      </c>
      <c r="C40" s="365"/>
      <c r="D40" s="365"/>
      <c r="E40" s="365"/>
      <c r="F40" s="365"/>
      <c r="G40" s="365"/>
      <c r="H40" s="158"/>
      <c r="I40" s="103">
        <v>0</v>
      </c>
      <c r="J40" s="103">
        <v>0</v>
      </c>
    </row>
    <row r="41" spans="1:11" ht="57" customHeight="1">
      <c r="A41" s="95"/>
      <c r="B41" s="317" t="s">
        <v>1003</v>
      </c>
      <c r="C41" s="318"/>
      <c r="D41" s="318"/>
      <c r="E41" s="318"/>
      <c r="F41" s="318"/>
      <c r="G41" s="374"/>
      <c r="H41" s="211">
        <f>SUM('пр №3 '!H26)</f>
        <v>0</v>
      </c>
      <c r="I41" s="211">
        <f>SUM('пр №3 '!I26)</f>
        <v>0</v>
      </c>
      <c r="J41" s="211">
        <f>SUM('пр №3 '!J26)</f>
        <v>0</v>
      </c>
    </row>
    <row r="42" spans="1:11" ht="60.75" customHeight="1">
      <c r="A42" s="95"/>
      <c r="B42" s="317" t="s">
        <v>1004</v>
      </c>
      <c r="C42" s="318"/>
      <c r="D42" s="318"/>
      <c r="E42" s="318"/>
      <c r="F42" s="318"/>
      <c r="G42" s="374"/>
      <c r="H42" s="211">
        <f>SUM('пр №3 '!H27)</f>
        <v>-57301</v>
      </c>
      <c r="I42" s="211">
        <f>SUM('пр №3 '!I27)</f>
        <v>0</v>
      </c>
      <c r="J42" s="211">
        <f>SUM('пр №3 '!J27)</f>
        <v>0</v>
      </c>
    </row>
    <row r="43" spans="1:11" ht="51.75" customHeight="1">
      <c r="A43" s="93" t="s">
        <v>133</v>
      </c>
      <c r="B43" s="368" t="s">
        <v>1057</v>
      </c>
      <c r="C43" s="369"/>
      <c r="D43" s="369"/>
      <c r="E43" s="369"/>
      <c r="F43" s="369"/>
      <c r="G43" s="369"/>
      <c r="H43" s="157">
        <f>-H11-H16-H25</f>
        <v>-34010.899999999907</v>
      </c>
      <c r="I43" s="157">
        <f t="shared" ref="I43:J43" si="3">-I11-I16-I25</f>
        <v>0</v>
      </c>
      <c r="J43" s="157">
        <f t="shared" si="3"/>
        <v>10000</v>
      </c>
    </row>
    <row r="44" spans="1:11">
      <c r="H44" s="159"/>
    </row>
    <row r="45" spans="1:11">
      <c r="H45" s="65"/>
    </row>
    <row r="46" spans="1:11">
      <c r="H46" s="65"/>
    </row>
    <row r="47" spans="1:11">
      <c r="H47" s="65"/>
    </row>
    <row r="48" spans="1:11">
      <c r="H48" s="65"/>
    </row>
    <row r="49" spans="8:8">
      <c r="H49" s="65"/>
    </row>
    <row r="50" spans="8:8">
      <c r="H50" s="65"/>
    </row>
    <row r="51" spans="8:8">
      <c r="H51" s="65"/>
    </row>
    <row r="52" spans="8:8">
      <c r="H52" s="65"/>
    </row>
    <row r="53" spans="8:8">
      <c r="H53" s="65"/>
    </row>
    <row r="54" spans="8:8">
      <c r="H54" s="65"/>
    </row>
    <row r="55" spans="8:8">
      <c r="H55" s="65"/>
    </row>
    <row r="56" spans="8:8">
      <c r="H56" s="65"/>
    </row>
    <row r="57" spans="8:8">
      <c r="H57" s="65"/>
    </row>
    <row r="58" spans="8:8">
      <c r="H58" s="65"/>
    </row>
    <row r="59" spans="8:8">
      <c r="H59" s="65"/>
    </row>
    <row r="60" spans="8:8">
      <c r="H60" s="65"/>
    </row>
    <row r="61" spans="8:8">
      <c r="H61" s="65"/>
    </row>
    <row r="62" spans="8:8">
      <c r="H62" s="65"/>
    </row>
    <row r="63" spans="8:8">
      <c r="H63" s="65"/>
    </row>
    <row r="64" spans="8:8">
      <c r="H64" s="65"/>
    </row>
    <row r="65" spans="8:8">
      <c r="H65" s="65"/>
    </row>
    <row r="66" spans="8:8">
      <c r="H66" s="65"/>
    </row>
    <row r="67" spans="8:8">
      <c r="H67" s="65"/>
    </row>
    <row r="68" spans="8:8">
      <c r="H68" s="65"/>
    </row>
    <row r="69" spans="8:8">
      <c r="H69" s="65"/>
    </row>
    <row r="70" spans="8:8">
      <c r="H70" s="65"/>
    </row>
    <row r="71" spans="8:8">
      <c r="H71" s="65"/>
    </row>
    <row r="72" spans="8:8">
      <c r="H72" s="65"/>
    </row>
    <row r="73" spans="8:8">
      <c r="H73" s="65"/>
    </row>
    <row r="74" spans="8:8">
      <c r="H74" s="65"/>
    </row>
    <row r="75" spans="8:8">
      <c r="H75" s="65"/>
    </row>
    <row r="76" spans="8:8">
      <c r="H76" s="65"/>
    </row>
    <row r="77" spans="8:8">
      <c r="H77" s="65"/>
    </row>
    <row r="78" spans="8:8">
      <c r="H78" s="65"/>
    </row>
    <row r="79" spans="8:8">
      <c r="H79" s="65"/>
    </row>
    <row r="80" spans="8:8">
      <c r="H80" s="65"/>
    </row>
    <row r="81" spans="8:8">
      <c r="H81" s="65"/>
    </row>
    <row r="82" spans="8:8">
      <c r="H82" s="65"/>
    </row>
    <row r="83" spans="8:8">
      <c r="H83" s="65"/>
    </row>
    <row r="84" spans="8:8">
      <c r="H84" s="65"/>
    </row>
    <row r="85" spans="8:8">
      <c r="H85" s="65"/>
    </row>
    <row r="86" spans="8:8">
      <c r="H86" s="65"/>
    </row>
    <row r="87" spans="8:8">
      <c r="H87" s="65"/>
    </row>
    <row r="112" spans="1:8" s="83" customFormat="1">
      <c r="A112" s="65"/>
      <c r="B112" s="80"/>
      <c r="C112" s="80"/>
      <c r="D112" s="80"/>
      <c r="E112" s="80"/>
      <c r="F112" s="80"/>
      <c r="G112" s="80"/>
      <c r="H112" s="66"/>
    </row>
    <row r="117" spans="1:8">
      <c r="A117" s="81"/>
      <c r="B117" s="83"/>
      <c r="C117" s="82"/>
      <c r="D117" s="82"/>
      <c r="E117" s="82"/>
      <c r="F117" s="82"/>
      <c r="G117" s="82"/>
      <c r="H117" s="83"/>
    </row>
  </sheetData>
  <mergeCells count="42">
    <mergeCell ref="B42:G42"/>
    <mergeCell ref="B21:G21"/>
    <mergeCell ref="A3:J3"/>
    <mergeCell ref="F4:H4"/>
    <mergeCell ref="A6:J6"/>
    <mergeCell ref="A7:J7"/>
    <mergeCell ref="A8:A10"/>
    <mergeCell ref="B8:G10"/>
    <mergeCell ref="H8:J9"/>
    <mergeCell ref="B40:G40"/>
    <mergeCell ref="B22:G22"/>
    <mergeCell ref="B11:G11"/>
    <mergeCell ref="B12:G12"/>
    <mergeCell ref="B13:G13"/>
    <mergeCell ref="B14:G14"/>
    <mergeCell ref="B15:G15"/>
    <mergeCell ref="B43:G43"/>
    <mergeCell ref="B36:G36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5:G35"/>
    <mergeCell ref="B33:G33"/>
    <mergeCell ref="B34:G34"/>
    <mergeCell ref="B41:G41"/>
    <mergeCell ref="A1:J1"/>
    <mergeCell ref="A2:J2"/>
    <mergeCell ref="B37:G37"/>
    <mergeCell ref="B38:G38"/>
    <mergeCell ref="B39:G39"/>
    <mergeCell ref="B16:G16"/>
    <mergeCell ref="B17:G17"/>
    <mergeCell ref="B18:G18"/>
    <mergeCell ref="B19:G19"/>
    <mergeCell ref="B20:G20"/>
  </mergeCells>
  <pageMargins left="0.98425196850393704" right="0.39370078740157483" top="0.59055118110236227" bottom="0.39370078740157483" header="0.31496062992125984" footer="0.19685039370078741"/>
  <pageSetup paperSize="9" scale="72" firstPageNumber="57" fitToHeight="0" orientation="portrait" useFirstPageNumber="1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M23"/>
  <sheetViews>
    <sheetView view="pageBreakPreview" topLeftCell="A11" zoomScale="140" zoomScaleNormal="100" zoomScaleSheetLayoutView="140" workbookViewId="0">
      <selection activeCell="A2" sqref="A2:M2"/>
    </sheetView>
  </sheetViews>
  <sheetFormatPr defaultRowHeight="15"/>
  <cols>
    <col min="1" max="1" width="6.44140625" style="208" customWidth="1"/>
    <col min="2" max="2" width="6.77734375" style="5" customWidth="1"/>
    <col min="3" max="3" width="4" style="5" customWidth="1"/>
    <col min="4" max="5" width="6.77734375" style="5" customWidth="1"/>
    <col min="6" max="6" width="2.21875" style="5" customWidth="1"/>
    <col min="7" max="7" width="5.5546875" style="5" customWidth="1"/>
    <col min="8" max="8" width="3.109375" style="5" customWidth="1"/>
    <col min="9" max="9" width="11.44140625" style="5" customWidth="1"/>
    <col min="10" max="10" width="2.44140625" style="5" hidden="1" customWidth="1"/>
    <col min="11" max="11" width="12.77734375" style="5" customWidth="1"/>
    <col min="12" max="12" width="10.6640625" style="6" customWidth="1"/>
    <col min="13" max="13" width="11.109375" style="6" customWidth="1"/>
    <col min="14" max="16384" width="8.88671875" style="6"/>
  </cols>
  <sheetData>
    <row r="1" spans="1:13" ht="115.5" customHeight="1">
      <c r="A1" s="392" t="s">
        <v>1362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</row>
    <row r="2" spans="1:13" ht="134.25" customHeight="1">
      <c r="A2" s="401" t="s">
        <v>1399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</row>
    <row r="3" spans="1:13" ht="43.5" customHeight="1">
      <c r="A3" s="402" t="s">
        <v>1068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  <c r="L3" s="402"/>
      <c r="M3" s="402"/>
    </row>
    <row r="4" spans="1:13" ht="15.75">
      <c r="A4" s="193"/>
      <c r="B4" s="180"/>
      <c r="C4" s="180"/>
      <c r="D4" s="180"/>
      <c r="E4" s="180"/>
      <c r="F4" s="180"/>
      <c r="G4" s="180"/>
      <c r="H4" s="180"/>
      <c r="I4" s="180"/>
      <c r="J4" s="180"/>
      <c r="K4" s="180"/>
    </row>
    <row r="5" spans="1:13" ht="15.75">
      <c r="A5" s="193"/>
      <c r="B5" s="180"/>
      <c r="C5" s="180"/>
      <c r="D5" s="180"/>
      <c r="E5" s="180"/>
      <c r="F5" s="180"/>
      <c r="G5" s="180"/>
      <c r="H5" s="180"/>
      <c r="I5" s="180"/>
      <c r="J5" s="180"/>
      <c r="K5" s="193"/>
    </row>
    <row r="6" spans="1:13" s="194" customFormat="1" ht="39.75" customHeight="1">
      <c r="A6" s="403" t="s">
        <v>129</v>
      </c>
      <c r="B6" s="403" t="s">
        <v>1058</v>
      </c>
      <c r="C6" s="403"/>
      <c r="D6" s="403"/>
      <c r="E6" s="403"/>
      <c r="F6" s="403"/>
      <c r="G6" s="403"/>
      <c r="H6" s="403"/>
      <c r="I6" s="403"/>
      <c r="J6" s="403"/>
      <c r="K6" s="240" t="s">
        <v>523</v>
      </c>
      <c r="L6" s="240"/>
      <c r="M6" s="240"/>
    </row>
    <row r="7" spans="1:13" s="194" customFormat="1" ht="39.75" hidden="1" customHeight="1">
      <c r="A7" s="403"/>
      <c r="B7" s="403"/>
      <c r="C7" s="403"/>
      <c r="D7" s="403"/>
      <c r="E7" s="403"/>
      <c r="F7" s="403"/>
      <c r="G7" s="403"/>
      <c r="H7" s="403"/>
      <c r="I7" s="403"/>
      <c r="J7" s="403"/>
      <c r="K7" s="240"/>
      <c r="L7" s="240"/>
      <c r="M7" s="240"/>
    </row>
    <row r="8" spans="1:13" s="194" customFormat="1" ht="39.75" customHeight="1">
      <c r="A8" s="403"/>
      <c r="B8" s="403"/>
      <c r="C8" s="403"/>
      <c r="D8" s="403"/>
      <c r="E8" s="403"/>
      <c r="F8" s="403"/>
      <c r="G8" s="403"/>
      <c r="H8" s="403"/>
      <c r="I8" s="403"/>
      <c r="J8" s="403"/>
      <c r="K8" s="192" t="s">
        <v>524</v>
      </c>
      <c r="L8" s="192" t="s">
        <v>937</v>
      </c>
      <c r="M8" s="192" t="s">
        <v>1030</v>
      </c>
    </row>
    <row r="9" spans="1:13" ht="39.75" customHeight="1">
      <c r="A9" s="195">
        <v>1</v>
      </c>
      <c r="B9" s="404" t="s">
        <v>1059</v>
      </c>
      <c r="C9" s="404"/>
      <c r="D9" s="404"/>
      <c r="E9" s="404"/>
      <c r="F9" s="404"/>
      <c r="G9" s="404"/>
      <c r="H9" s="404"/>
      <c r="I9" s="404"/>
      <c r="J9" s="404"/>
      <c r="K9" s="196">
        <f>K10</f>
        <v>30000</v>
      </c>
      <c r="L9" s="196">
        <f>L10</f>
        <v>0</v>
      </c>
      <c r="M9" s="196">
        <f>M10</f>
        <v>-10000</v>
      </c>
    </row>
    <row r="10" spans="1:13" s="198" customFormat="1" ht="29.25" customHeight="1">
      <c r="A10" s="197" t="s">
        <v>58</v>
      </c>
      <c r="B10" s="405" t="s">
        <v>1060</v>
      </c>
      <c r="C10" s="405"/>
      <c r="D10" s="405"/>
      <c r="E10" s="405"/>
      <c r="F10" s="405"/>
      <c r="G10" s="405"/>
      <c r="H10" s="405"/>
      <c r="I10" s="405"/>
      <c r="J10" s="405"/>
      <c r="K10" s="196">
        <f>K11-K12</f>
        <v>30000</v>
      </c>
      <c r="L10" s="196">
        <f>L11-L12</f>
        <v>0</v>
      </c>
      <c r="M10" s="196">
        <f>M11-M12</f>
        <v>-10000</v>
      </c>
    </row>
    <row r="11" spans="1:13" ht="21.75" customHeight="1">
      <c r="A11" s="199"/>
      <c r="B11" s="394" t="s">
        <v>1061</v>
      </c>
      <c r="C11" s="394"/>
      <c r="D11" s="394"/>
      <c r="E11" s="394"/>
      <c r="F11" s="394"/>
      <c r="G11" s="394"/>
      <c r="H11" s="394"/>
      <c r="I11" s="394"/>
      <c r="J11" s="394"/>
      <c r="K11" s="103">
        <v>154000</v>
      </c>
      <c r="L11" s="103">
        <v>246000</v>
      </c>
      <c r="M11" s="103">
        <v>236000</v>
      </c>
    </row>
    <row r="12" spans="1:13" ht="24" customHeight="1">
      <c r="A12" s="200"/>
      <c r="B12" s="394" t="s">
        <v>1062</v>
      </c>
      <c r="C12" s="394"/>
      <c r="D12" s="394"/>
      <c r="E12" s="394"/>
      <c r="F12" s="394"/>
      <c r="G12" s="394"/>
      <c r="H12" s="394"/>
      <c r="I12" s="394"/>
      <c r="J12" s="394"/>
      <c r="K12" s="103">
        <v>124000</v>
      </c>
      <c r="L12" s="103">
        <v>246000</v>
      </c>
      <c r="M12" s="103">
        <v>246000</v>
      </c>
    </row>
    <row r="13" spans="1:13" s="198" customFormat="1" ht="96" customHeight="1">
      <c r="A13" s="195" t="s">
        <v>1063</v>
      </c>
      <c r="B13" s="396" t="s">
        <v>1064</v>
      </c>
      <c r="C13" s="397"/>
      <c r="D13" s="397"/>
      <c r="E13" s="397"/>
      <c r="F13" s="397"/>
      <c r="G13" s="397"/>
      <c r="H13" s="397"/>
      <c r="I13" s="397"/>
      <c r="J13" s="201"/>
      <c r="K13" s="196">
        <f>SUM(K14-K15)</f>
        <v>0</v>
      </c>
      <c r="L13" s="196">
        <f>SUM(L14-L15)</f>
        <v>0</v>
      </c>
      <c r="M13" s="196">
        <f>SUM(M14-M15)</f>
        <v>0</v>
      </c>
    </row>
    <row r="14" spans="1:13" ht="24.75" customHeight="1">
      <c r="A14" s="202"/>
      <c r="B14" s="395" t="s">
        <v>1061</v>
      </c>
      <c r="C14" s="395"/>
      <c r="D14" s="395"/>
      <c r="E14" s="395"/>
      <c r="F14" s="395"/>
      <c r="G14" s="395"/>
      <c r="H14" s="395"/>
      <c r="I14" s="395"/>
      <c r="J14" s="203"/>
      <c r="K14" s="204">
        <f>57691-390</f>
        <v>57301</v>
      </c>
      <c r="L14" s="204">
        <v>0</v>
      </c>
      <c r="M14" s="204">
        <v>0</v>
      </c>
    </row>
    <row r="15" spans="1:13" ht="25.5" customHeight="1">
      <c r="A15" s="202"/>
      <c r="B15" s="395" t="s">
        <v>1062</v>
      </c>
      <c r="C15" s="395"/>
      <c r="D15" s="395"/>
      <c r="E15" s="395"/>
      <c r="F15" s="395"/>
      <c r="G15" s="395"/>
      <c r="H15" s="395"/>
      <c r="I15" s="395"/>
      <c r="J15" s="203"/>
      <c r="K15" s="204">
        <f t="shared" ref="K15:K21" si="0">57691-390</f>
        <v>57301</v>
      </c>
      <c r="L15" s="204">
        <v>0</v>
      </c>
      <c r="M15" s="204">
        <v>0</v>
      </c>
    </row>
    <row r="16" spans="1:13" s="198" customFormat="1" ht="95.25" hidden="1" customHeight="1">
      <c r="A16" s="195" t="s">
        <v>1065</v>
      </c>
      <c r="B16" s="396" t="s">
        <v>1066</v>
      </c>
      <c r="C16" s="397"/>
      <c r="D16" s="397"/>
      <c r="E16" s="397"/>
      <c r="F16" s="397"/>
      <c r="G16" s="397"/>
      <c r="H16" s="397"/>
      <c r="I16" s="397"/>
      <c r="J16" s="201"/>
      <c r="K16" s="204">
        <f t="shared" si="0"/>
        <v>57301</v>
      </c>
      <c r="L16" s="196">
        <f>SUM(L17-L18)</f>
        <v>0</v>
      </c>
      <c r="M16" s="196">
        <f>SUM(M17-M18)</f>
        <v>0</v>
      </c>
    </row>
    <row r="17" spans="1:13" ht="26.25" hidden="1" customHeight="1">
      <c r="A17" s="202"/>
      <c r="B17" s="395" t="s">
        <v>1061</v>
      </c>
      <c r="C17" s="395"/>
      <c r="D17" s="395"/>
      <c r="E17" s="395"/>
      <c r="F17" s="395"/>
      <c r="G17" s="395"/>
      <c r="H17" s="395"/>
      <c r="I17" s="395"/>
      <c r="J17" s="203"/>
      <c r="K17" s="204">
        <f t="shared" si="0"/>
        <v>57301</v>
      </c>
      <c r="L17" s="204">
        <v>0</v>
      </c>
      <c r="M17" s="204">
        <v>0</v>
      </c>
    </row>
    <row r="18" spans="1:13" ht="24.75" hidden="1" customHeight="1">
      <c r="A18" s="202"/>
      <c r="B18" s="395" t="s">
        <v>1062</v>
      </c>
      <c r="C18" s="395"/>
      <c r="D18" s="395"/>
      <c r="E18" s="395"/>
      <c r="F18" s="395"/>
      <c r="G18" s="395"/>
      <c r="H18" s="395"/>
      <c r="I18" s="395"/>
      <c r="J18" s="203"/>
      <c r="K18" s="204">
        <f t="shared" si="0"/>
        <v>57301</v>
      </c>
      <c r="L18" s="204">
        <v>0</v>
      </c>
      <c r="M18" s="204">
        <v>0</v>
      </c>
    </row>
    <row r="19" spans="1:13" ht="83.25" hidden="1" customHeight="1">
      <c r="A19" s="197" t="s">
        <v>116</v>
      </c>
      <c r="B19" s="398" t="s">
        <v>1067</v>
      </c>
      <c r="C19" s="399"/>
      <c r="D19" s="399"/>
      <c r="E19" s="399"/>
      <c r="F19" s="399"/>
      <c r="G19" s="399"/>
      <c r="H19" s="399"/>
      <c r="I19" s="400"/>
      <c r="J19" s="205"/>
      <c r="K19" s="204">
        <f t="shared" si="0"/>
        <v>57301</v>
      </c>
      <c r="L19" s="206">
        <f t="shared" ref="L19:M19" si="1">SUM(L20-L21)</f>
        <v>0</v>
      </c>
      <c r="M19" s="206">
        <f t="shared" si="1"/>
        <v>0</v>
      </c>
    </row>
    <row r="20" spans="1:13" ht="30.75" hidden="1" customHeight="1">
      <c r="A20" s="207"/>
      <c r="B20" s="394" t="s">
        <v>1061</v>
      </c>
      <c r="C20" s="394"/>
      <c r="D20" s="394"/>
      <c r="E20" s="394"/>
      <c r="F20" s="394"/>
      <c r="G20" s="394"/>
      <c r="H20" s="394"/>
      <c r="I20" s="394"/>
      <c r="J20" s="394"/>
      <c r="K20" s="204">
        <f t="shared" si="0"/>
        <v>57301</v>
      </c>
      <c r="L20" s="103">
        <v>0</v>
      </c>
      <c r="M20" s="103">
        <v>0</v>
      </c>
    </row>
    <row r="21" spans="1:13" ht="28.5" hidden="1" customHeight="1">
      <c r="A21" s="207"/>
      <c r="B21" s="394" t="s">
        <v>1062</v>
      </c>
      <c r="C21" s="394"/>
      <c r="D21" s="394"/>
      <c r="E21" s="394"/>
      <c r="F21" s="394"/>
      <c r="G21" s="394"/>
      <c r="H21" s="394"/>
      <c r="I21" s="394"/>
      <c r="J21" s="394"/>
      <c r="K21" s="204">
        <f t="shared" si="0"/>
        <v>57301</v>
      </c>
      <c r="L21" s="103">
        <v>0</v>
      </c>
      <c r="M21" s="103">
        <v>0</v>
      </c>
    </row>
    <row r="23" spans="1:13" s="5" customFormat="1">
      <c r="A23" s="208"/>
    </row>
  </sheetData>
  <mergeCells count="19">
    <mergeCell ref="B11:J11"/>
    <mergeCell ref="B12:J12"/>
    <mergeCell ref="B13:I13"/>
    <mergeCell ref="A1:M1"/>
    <mergeCell ref="B21:J21"/>
    <mergeCell ref="B15:I15"/>
    <mergeCell ref="B16:I16"/>
    <mergeCell ref="B17:I17"/>
    <mergeCell ref="B18:I18"/>
    <mergeCell ref="B19:I19"/>
    <mergeCell ref="B20:J20"/>
    <mergeCell ref="B14:I14"/>
    <mergeCell ref="A2:M2"/>
    <mergeCell ref="A3:M3"/>
    <mergeCell ref="A6:A8"/>
    <mergeCell ref="B6:J8"/>
    <mergeCell ref="K6:M7"/>
    <mergeCell ref="B9:J9"/>
    <mergeCell ref="B10:J10"/>
  </mergeCells>
  <pageMargins left="0.70866141732283472" right="0.70866141732283472" top="0.74803149606299213" bottom="0.74803149606299213" header="0.31496062992125984" footer="0.31496062992125984"/>
  <pageSetup paperSize="9" scale="91" firstPageNumber="59" orientation="portrait" useFirstPageNumber="1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пр№1</vt:lpstr>
      <vt:lpstr>пр№2 </vt:lpstr>
      <vt:lpstr>пр № 7</vt:lpstr>
      <vt:lpstr>пр №3 </vt:lpstr>
      <vt:lpstr>ПР № 12</vt:lpstr>
      <vt:lpstr>пр № 4</vt:lpstr>
      <vt:lpstr>пр №5</vt:lpstr>
      <vt:lpstr>пр№ 6</vt:lpstr>
      <vt:lpstr>пр№7</vt:lpstr>
      <vt:lpstr>'ПР № 12'!Область_печати</vt:lpstr>
      <vt:lpstr>'пр № 7'!Область_печати</vt:lpstr>
      <vt:lpstr>'пр №3 '!Область_печати</vt:lpstr>
      <vt:lpstr>'пр№ 6'!Область_печати</vt:lpstr>
      <vt:lpstr>пр№1!Область_печати</vt:lpstr>
      <vt:lpstr>'пр№2 '!Область_печати</vt:lpstr>
    </vt:vector>
  </TitlesOfParts>
  <Company>IVAFIN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Родькина</cp:lastModifiedBy>
  <cp:lastPrinted>2019-01-30T12:58:08Z</cp:lastPrinted>
  <dcterms:created xsi:type="dcterms:W3CDTF">2005-02-25T08:58:00Z</dcterms:created>
  <dcterms:modified xsi:type="dcterms:W3CDTF">2019-01-31T10:29:07Z</dcterms:modified>
</cp:coreProperties>
</file>